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KY\2018 Water Rate Case\Discovery\PSC\PSC DR2-3\Exhibits\Taxes\"/>
    </mc:Choice>
  </mc:AlternateContent>
  <bookViews>
    <workbookView xWindow="0" yWindow="0" windowWidth="28800" windowHeight="12300" tabRatio="903" activeTab="2"/>
  </bookViews>
  <sheets>
    <sheet name="Link In" sheetId="1" r:id="rId1"/>
    <sheet name="Link Out" sheetId="2" r:id="rId2"/>
    <sheet name="Exhibit" sheetId="3" r:id="rId3"/>
    <sheet name="Summary by Account" sheetId="5" r:id="rId4"/>
    <sheet name="Notes" sheetId="4" r:id="rId5"/>
    <sheet name="E-1.1 Federal Inc Tax Base" sheetId="6" r:id="rId6"/>
    <sheet name="E-1.2 State Inc Tax Base" sheetId="7" r:id="rId7"/>
    <sheet name="E-1.3 Federal Inc Tax Forecast" sheetId="8" r:id="rId8"/>
    <sheet name="E-1.4 State Inc Tax Forecast" sheetId="9" r:id="rId9"/>
    <sheet name="E-1.5 Summary of Income Tax Adj" sheetId="10" r:id="rId10"/>
    <sheet name="E-2 Jurisdictional Income Taxes" sheetId="11" r:id="rId11"/>
  </sheets>
  <externalReferences>
    <externalReference r:id="rId12"/>
    <externalReference r:id="rId13"/>
    <externalReference r:id="rId14"/>
    <externalReference r:id="rId15"/>
    <externalReference r:id="rId16"/>
    <externalReference r:id="rId17"/>
    <externalReference r:id="rId18"/>
  </externalReferences>
  <definedNames>
    <definedName name="_xlnm.Print_Area" localSheetId="5">'E-1.1 Federal Inc Tax Base'!$A$1:$L$79</definedName>
    <definedName name="_xlnm.Print_Area" localSheetId="6">'E-1.2 State Inc Tax Base'!$A$1:$L$76</definedName>
    <definedName name="_xlnm.Print_Area" localSheetId="7">'E-1.3 Federal Inc Tax Forecast'!$A$1:$L$73</definedName>
    <definedName name="_xlnm.Print_Area" localSheetId="8">'E-1.4 State Inc Tax Forecast'!$A$1:$L$70</definedName>
    <definedName name="_xlnm.Print_Area" localSheetId="9">'E-1.5 Summary of Income Tax Adj'!$A$1:$N$38</definedName>
    <definedName name="_xlnm.Print_Area" localSheetId="10">'E-2 Jurisdictional Income Taxes'!$A$1:$O$23</definedName>
    <definedName name="_xlnm.Print_Area" localSheetId="2">Exhibit!$A$1:$M$26</definedName>
    <definedName name="_xlnm.Print_Area" localSheetId="0">'Link In'!$A$1:$L$265</definedName>
    <definedName name="_xlnm.Print_Area" localSheetId="1">'Link Out'!$A$1:$M$33</definedName>
    <definedName name="_xlnm.Print_Area" localSheetId="3">'Summary by Account'!$A$1:$O$33</definedName>
  </definedNames>
  <calcPr calcId="162913"/>
</workbook>
</file>

<file path=xl/calcChain.xml><?xml version="1.0" encoding="utf-8"?>
<calcChain xmlns="http://schemas.openxmlformats.org/spreadsheetml/2006/main">
  <c r="C118" i="1" l="1"/>
  <c r="B118" i="1"/>
  <c r="C117" i="1"/>
  <c r="B117" i="1"/>
  <c r="K118" i="1"/>
  <c r="J118" i="1"/>
  <c r="K117" i="1"/>
  <c r="J117" i="1"/>
  <c r="K116" i="1"/>
  <c r="J116" i="1"/>
  <c r="F118" i="1"/>
  <c r="E118" i="1"/>
  <c r="F117" i="1"/>
  <c r="E117" i="1"/>
  <c r="F116" i="1"/>
  <c r="E116" i="1"/>
  <c r="C134" i="1"/>
  <c r="B205" i="1"/>
  <c r="B204" i="1"/>
  <c r="D187" i="1"/>
  <c r="B187" i="1"/>
  <c r="D186" i="1"/>
  <c r="C141" i="1"/>
  <c r="C138" i="1"/>
  <c r="C136" i="1"/>
  <c r="C116" i="1"/>
  <c r="C152" i="1"/>
  <c r="C133" i="1"/>
  <c r="D132" i="1"/>
  <c r="C132" i="1"/>
  <c r="B132" i="1"/>
  <c r="C131" i="1"/>
  <c r="C124" i="1"/>
  <c r="AN79" i="1"/>
  <c r="AL79" i="1"/>
  <c r="AJ79" i="1"/>
  <c r="AH79" i="1"/>
  <c r="AF79" i="1"/>
  <c r="AD79" i="1"/>
  <c r="AB79" i="1"/>
  <c r="Z79" i="1"/>
  <c r="X79" i="1"/>
  <c r="V79" i="1"/>
  <c r="T79" i="1"/>
  <c r="R79" i="1"/>
  <c r="P79" i="1"/>
  <c r="O79" i="1"/>
  <c r="N79" i="1"/>
  <c r="L79" i="1"/>
  <c r="K79" i="1"/>
  <c r="AN78" i="1"/>
  <c r="AL78" i="1"/>
  <c r="AJ78" i="1"/>
  <c r="AH78" i="1"/>
  <c r="AF78" i="1"/>
  <c r="AD78" i="1"/>
  <c r="AB78" i="1"/>
  <c r="Z78" i="1"/>
  <c r="X78" i="1"/>
  <c r="V78" i="1"/>
  <c r="T78" i="1"/>
  <c r="R78" i="1"/>
  <c r="P78" i="1"/>
  <c r="O78" i="1"/>
  <c r="N78" i="1"/>
  <c r="L78" i="1"/>
  <c r="K78" i="1"/>
  <c r="AN77" i="1"/>
  <c r="AL77" i="1"/>
  <c r="AJ77" i="1"/>
  <c r="AH77" i="1"/>
  <c r="AF77" i="1"/>
  <c r="AD77" i="1"/>
  <c r="AB77" i="1"/>
  <c r="Z77" i="1"/>
  <c r="X77" i="1"/>
  <c r="V77" i="1"/>
  <c r="T77" i="1"/>
  <c r="R77" i="1"/>
  <c r="P77" i="1"/>
  <c r="O77" i="1"/>
  <c r="N77" i="1"/>
  <c r="L77" i="1"/>
  <c r="K77" i="1"/>
  <c r="AN76" i="1"/>
  <c r="AL76" i="1"/>
  <c r="AJ76" i="1"/>
  <c r="AH76" i="1"/>
  <c r="AF76" i="1"/>
  <c r="AD76" i="1"/>
  <c r="AB76" i="1"/>
  <c r="Z76" i="1"/>
  <c r="X76" i="1"/>
  <c r="V76" i="1"/>
  <c r="T76" i="1"/>
  <c r="R76" i="1"/>
  <c r="P76" i="1"/>
  <c r="O76" i="1"/>
  <c r="N76" i="1"/>
  <c r="L76" i="1"/>
  <c r="K76" i="1"/>
  <c r="AN75" i="1"/>
  <c r="AL75" i="1"/>
  <c r="AJ75" i="1"/>
  <c r="AH75" i="1"/>
  <c r="AF75" i="1"/>
  <c r="AD75" i="1"/>
  <c r="AB75" i="1"/>
  <c r="Z75" i="1"/>
  <c r="X75" i="1"/>
  <c r="V75" i="1"/>
  <c r="T75" i="1"/>
  <c r="R75" i="1"/>
  <c r="P75" i="1"/>
  <c r="O75" i="1"/>
  <c r="N75" i="1"/>
  <c r="L75" i="1"/>
  <c r="K75" i="1"/>
  <c r="AN74" i="1"/>
  <c r="AL74" i="1"/>
  <c r="AJ74" i="1"/>
  <c r="AH74" i="1"/>
  <c r="AF74" i="1"/>
  <c r="AD74" i="1"/>
  <c r="AB74" i="1"/>
  <c r="Z74" i="1"/>
  <c r="X74" i="1"/>
  <c r="V74" i="1"/>
  <c r="T74" i="1"/>
  <c r="R74" i="1"/>
  <c r="P74" i="1"/>
  <c r="O74" i="1"/>
  <c r="N74" i="1"/>
  <c r="L74" i="1"/>
  <c r="K74" i="1"/>
  <c r="AN73" i="1"/>
  <c r="AL73" i="1"/>
  <c r="AJ73" i="1"/>
  <c r="AH73" i="1"/>
  <c r="AF73" i="1"/>
  <c r="AD73" i="1"/>
  <c r="AB73" i="1"/>
  <c r="Z73" i="1"/>
  <c r="X73" i="1"/>
  <c r="V73" i="1"/>
  <c r="T73" i="1"/>
  <c r="R73" i="1"/>
  <c r="P73" i="1"/>
  <c r="O73" i="1"/>
  <c r="N73" i="1"/>
  <c r="L73" i="1"/>
  <c r="K73" i="1"/>
  <c r="AN72" i="1"/>
  <c r="AL72" i="1"/>
  <c r="AJ72" i="1"/>
  <c r="AH72" i="1"/>
  <c r="AF72" i="1"/>
  <c r="AD72" i="1"/>
  <c r="AB72" i="1"/>
  <c r="Z72" i="1"/>
  <c r="X72" i="1"/>
  <c r="V72" i="1"/>
  <c r="T72" i="1"/>
  <c r="R72" i="1"/>
  <c r="P72" i="1"/>
  <c r="O72" i="1"/>
  <c r="N72" i="1"/>
  <c r="L72" i="1"/>
  <c r="K72" i="1"/>
  <c r="AN71" i="1"/>
  <c r="AL71" i="1"/>
  <c r="AJ71" i="1"/>
  <c r="AH71" i="1"/>
  <c r="AF71" i="1"/>
  <c r="AD71" i="1"/>
  <c r="AB71" i="1"/>
  <c r="Z71" i="1"/>
  <c r="X71" i="1"/>
  <c r="V71" i="1"/>
  <c r="T71" i="1"/>
  <c r="R71" i="1"/>
  <c r="P71" i="1"/>
  <c r="O71" i="1"/>
  <c r="N71" i="1"/>
  <c r="L71" i="1"/>
  <c r="K71" i="1"/>
  <c r="AN70" i="1"/>
  <c r="AL70" i="1"/>
  <c r="AJ70" i="1"/>
  <c r="AH70" i="1"/>
  <c r="AF70" i="1"/>
  <c r="AD70" i="1"/>
  <c r="AB70" i="1"/>
  <c r="Z70" i="1"/>
  <c r="X70" i="1"/>
  <c r="V70" i="1"/>
  <c r="T70" i="1"/>
  <c r="R70" i="1"/>
  <c r="P70" i="1"/>
  <c r="O70" i="1"/>
  <c r="N70" i="1"/>
  <c r="L70" i="1"/>
  <c r="K70" i="1"/>
  <c r="AN69" i="1"/>
  <c r="AL69" i="1"/>
  <c r="AJ69" i="1"/>
  <c r="AH69" i="1"/>
  <c r="AF69" i="1"/>
  <c r="AD69" i="1"/>
  <c r="AB69" i="1"/>
  <c r="Z69" i="1"/>
  <c r="X69" i="1"/>
  <c r="V69" i="1"/>
  <c r="T69" i="1"/>
  <c r="R69" i="1"/>
  <c r="P69" i="1"/>
  <c r="O69" i="1"/>
  <c r="N69" i="1"/>
  <c r="L69" i="1"/>
  <c r="K69" i="1"/>
  <c r="AN68" i="1"/>
  <c r="AL68" i="1"/>
  <c r="AJ68" i="1"/>
  <c r="AH68" i="1"/>
  <c r="AF68" i="1"/>
  <c r="AD68" i="1"/>
  <c r="AB68" i="1"/>
  <c r="Z68" i="1"/>
  <c r="X68" i="1"/>
  <c r="V68" i="1"/>
  <c r="T68" i="1"/>
  <c r="R68" i="1"/>
  <c r="P68" i="1"/>
  <c r="O68" i="1"/>
  <c r="N68" i="1"/>
  <c r="L68" i="1"/>
  <c r="K68" i="1"/>
  <c r="AN67" i="1"/>
  <c r="AL67" i="1"/>
  <c r="AJ67" i="1"/>
  <c r="AH67" i="1"/>
  <c r="AF67" i="1"/>
  <c r="AD67" i="1"/>
  <c r="AB67" i="1"/>
  <c r="Z67" i="1"/>
  <c r="X67" i="1"/>
  <c r="V67" i="1"/>
  <c r="T67" i="1"/>
  <c r="R67" i="1"/>
  <c r="P67" i="1"/>
  <c r="O67" i="1"/>
  <c r="N67" i="1"/>
  <c r="L67" i="1"/>
  <c r="K67" i="1"/>
  <c r="AN49" i="1"/>
  <c r="AL49" i="1"/>
  <c r="AJ49" i="1"/>
  <c r="AH49" i="1"/>
  <c r="AF49" i="1"/>
  <c r="AD49" i="1"/>
  <c r="AB49" i="1"/>
  <c r="Z49" i="1"/>
  <c r="X49" i="1"/>
  <c r="V49" i="1"/>
  <c r="T49" i="1"/>
  <c r="R49" i="1"/>
  <c r="P49" i="1"/>
  <c r="O49" i="1"/>
  <c r="N49" i="1"/>
  <c r="L49" i="1"/>
  <c r="K49" i="1"/>
  <c r="AN48" i="1"/>
  <c r="AL48" i="1"/>
  <c r="AJ48" i="1"/>
  <c r="AH48" i="1"/>
  <c r="AF48" i="1"/>
  <c r="AD48" i="1"/>
  <c r="AB48" i="1"/>
  <c r="Z48" i="1"/>
  <c r="X48" i="1"/>
  <c r="V48" i="1"/>
  <c r="T48" i="1"/>
  <c r="R48" i="1"/>
  <c r="P48" i="1"/>
  <c r="O48" i="1"/>
  <c r="N48" i="1"/>
  <c r="L48" i="1"/>
  <c r="K48" i="1"/>
  <c r="AN47" i="1"/>
  <c r="AL47" i="1"/>
  <c r="AJ47" i="1"/>
  <c r="AH47" i="1"/>
  <c r="AF47" i="1"/>
  <c r="AD47" i="1"/>
  <c r="AB47" i="1"/>
  <c r="Z47" i="1"/>
  <c r="X47" i="1"/>
  <c r="V47" i="1"/>
  <c r="T47" i="1"/>
  <c r="R47" i="1"/>
  <c r="P47" i="1"/>
  <c r="O47" i="1"/>
  <c r="N47" i="1"/>
  <c r="L47" i="1"/>
  <c r="K47" i="1"/>
  <c r="AN46" i="1"/>
  <c r="AL46" i="1"/>
  <c r="AJ46" i="1"/>
  <c r="AH46" i="1"/>
  <c r="AF46" i="1"/>
  <c r="AD46" i="1"/>
  <c r="AB46" i="1"/>
  <c r="Z46" i="1"/>
  <c r="X46" i="1"/>
  <c r="V46" i="1"/>
  <c r="T46" i="1"/>
  <c r="R46" i="1"/>
  <c r="P46" i="1"/>
  <c r="O46" i="1"/>
  <c r="N46" i="1"/>
  <c r="L46" i="1"/>
  <c r="K46" i="1"/>
  <c r="AN45" i="1"/>
  <c r="AL45" i="1"/>
  <c r="AJ45" i="1"/>
  <c r="AH45" i="1"/>
  <c r="AF45" i="1"/>
  <c r="AD45" i="1"/>
  <c r="AB45" i="1"/>
  <c r="Z45" i="1"/>
  <c r="X45" i="1"/>
  <c r="V45" i="1"/>
  <c r="T45" i="1"/>
  <c r="R45" i="1"/>
  <c r="P45" i="1"/>
  <c r="O45" i="1"/>
  <c r="N45" i="1"/>
  <c r="L45" i="1"/>
  <c r="K45" i="1"/>
  <c r="AN44" i="1"/>
  <c r="AL44" i="1"/>
  <c r="AJ44" i="1"/>
  <c r="AH44" i="1"/>
  <c r="AF44" i="1"/>
  <c r="AD44" i="1"/>
  <c r="AB44" i="1"/>
  <c r="Z44" i="1"/>
  <c r="X44" i="1"/>
  <c r="V44" i="1"/>
  <c r="T44" i="1"/>
  <c r="R44" i="1"/>
  <c r="P44" i="1"/>
  <c r="O44" i="1"/>
  <c r="N44" i="1"/>
  <c r="L44" i="1"/>
  <c r="K44" i="1"/>
  <c r="AN43" i="1"/>
  <c r="AL43" i="1"/>
  <c r="AJ43" i="1"/>
  <c r="AH43" i="1"/>
  <c r="AF43" i="1"/>
  <c r="AD43" i="1"/>
  <c r="AB43" i="1"/>
  <c r="Z43" i="1"/>
  <c r="X43" i="1"/>
  <c r="V43" i="1"/>
  <c r="T43" i="1"/>
  <c r="R43" i="1"/>
  <c r="P43" i="1"/>
  <c r="O43" i="1"/>
  <c r="N43" i="1"/>
  <c r="L43" i="1"/>
  <c r="K43" i="1"/>
  <c r="AN42" i="1"/>
  <c r="AL42" i="1"/>
  <c r="AJ42" i="1"/>
  <c r="AH42" i="1"/>
  <c r="AF42" i="1"/>
  <c r="AD42" i="1"/>
  <c r="AB42" i="1"/>
  <c r="Z42" i="1"/>
  <c r="X42" i="1"/>
  <c r="V42" i="1"/>
  <c r="T42" i="1"/>
  <c r="R42" i="1"/>
  <c r="P42" i="1"/>
  <c r="O42" i="1"/>
  <c r="N42" i="1"/>
  <c r="L42" i="1"/>
  <c r="K42" i="1"/>
  <c r="B186" i="1"/>
  <c r="I92" i="1"/>
  <c r="G92" i="1"/>
  <c r="E92" i="1"/>
  <c r="B92" i="1"/>
  <c r="A92" i="1"/>
  <c r="I91" i="1"/>
  <c r="G91" i="1"/>
  <c r="E91" i="1"/>
  <c r="B91" i="1"/>
  <c r="A91" i="1"/>
  <c r="I90" i="1"/>
  <c r="G90" i="1"/>
  <c r="E90" i="1"/>
  <c r="B90" i="1"/>
  <c r="A90" i="1"/>
  <c r="I89" i="1"/>
  <c r="G89" i="1"/>
  <c r="E89" i="1"/>
  <c r="B89" i="1"/>
  <c r="A89" i="1"/>
  <c r="I88" i="1"/>
  <c r="G88" i="1"/>
  <c r="E88" i="1"/>
  <c r="B88" i="1"/>
  <c r="A88" i="1"/>
  <c r="I87" i="1"/>
  <c r="G87" i="1"/>
  <c r="E87" i="1"/>
  <c r="B87" i="1"/>
  <c r="A87" i="1"/>
  <c r="I86" i="1"/>
  <c r="G86" i="1"/>
  <c r="E86" i="1"/>
  <c r="B86" i="1"/>
  <c r="A86" i="1"/>
  <c r="I85" i="1"/>
  <c r="G85" i="1"/>
  <c r="E85" i="1"/>
  <c r="B85" i="1"/>
  <c r="A85" i="1"/>
  <c r="I84" i="1"/>
  <c r="G84" i="1"/>
  <c r="E84" i="1"/>
  <c r="B84" i="1"/>
  <c r="A84" i="1"/>
  <c r="I83" i="1"/>
  <c r="G83" i="1"/>
  <c r="E83" i="1"/>
  <c r="B83" i="1"/>
  <c r="A83" i="1"/>
  <c r="I82" i="1"/>
  <c r="G82" i="1"/>
  <c r="E82" i="1"/>
  <c r="B82" i="1"/>
  <c r="A82" i="1"/>
  <c r="I81" i="1"/>
  <c r="G81" i="1"/>
  <c r="E81" i="1"/>
  <c r="B81" i="1"/>
  <c r="A81" i="1"/>
  <c r="I80" i="1"/>
  <c r="G80" i="1"/>
  <c r="E80" i="1"/>
  <c r="B80" i="1"/>
  <c r="A80" i="1"/>
  <c r="I79" i="1"/>
  <c r="G79" i="1"/>
  <c r="E79" i="1"/>
  <c r="B79" i="1"/>
  <c r="A79" i="1"/>
  <c r="I76" i="1"/>
  <c r="G76" i="1"/>
  <c r="E76" i="1"/>
  <c r="B76" i="1"/>
  <c r="A76" i="1"/>
  <c r="I75" i="1"/>
  <c r="G75" i="1"/>
  <c r="E75" i="1"/>
  <c r="B75" i="1"/>
  <c r="A75" i="1"/>
  <c r="I74" i="1"/>
  <c r="G74" i="1"/>
  <c r="E74" i="1"/>
  <c r="B74" i="1"/>
  <c r="A74" i="1"/>
  <c r="I73" i="1"/>
  <c r="G73" i="1"/>
  <c r="E73" i="1"/>
  <c r="B73" i="1"/>
  <c r="A73" i="1"/>
  <c r="I72" i="1"/>
  <c r="G72" i="1"/>
  <c r="E72" i="1"/>
  <c r="B72" i="1"/>
  <c r="A72" i="1"/>
  <c r="I71" i="1"/>
  <c r="G71" i="1"/>
  <c r="E71" i="1"/>
  <c r="B71" i="1"/>
  <c r="A71" i="1"/>
  <c r="I70" i="1"/>
  <c r="G70" i="1"/>
  <c r="E70" i="1"/>
  <c r="B70" i="1"/>
  <c r="A70" i="1"/>
  <c r="I69" i="1"/>
  <c r="G69" i="1"/>
  <c r="E69" i="1"/>
  <c r="B69" i="1"/>
  <c r="A69" i="1"/>
  <c r="I68" i="1"/>
  <c r="G68" i="1"/>
  <c r="E68" i="1"/>
  <c r="B68" i="1"/>
  <c r="A68" i="1"/>
  <c r="I67" i="1"/>
  <c r="G67" i="1"/>
  <c r="E67" i="1"/>
  <c r="B67" i="1"/>
  <c r="A67" i="1"/>
  <c r="I64" i="1"/>
  <c r="G64" i="1"/>
  <c r="E64" i="1"/>
  <c r="B64" i="1"/>
  <c r="A64" i="1"/>
  <c r="I63" i="1"/>
  <c r="G63" i="1"/>
  <c r="E63" i="1"/>
  <c r="B63" i="1"/>
  <c r="A63" i="1"/>
  <c r="I62" i="1"/>
  <c r="G62" i="1"/>
  <c r="E62" i="1"/>
  <c r="B62" i="1"/>
  <c r="A62" i="1"/>
  <c r="I61" i="1"/>
  <c r="G61" i="1"/>
  <c r="E61" i="1"/>
  <c r="B61" i="1"/>
  <c r="A61" i="1"/>
  <c r="I60" i="1"/>
  <c r="G60" i="1"/>
  <c r="E60" i="1"/>
  <c r="B60" i="1"/>
  <c r="A60" i="1"/>
  <c r="I59" i="1"/>
  <c r="G59" i="1"/>
  <c r="E59" i="1"/>
  <c r="B59" i="1"/>
  <c r="A59" i="1"/>
  <c r="I58" i="1"/>
  <c r="G58" i="1"/>
  <c r="E58" i="1"/>
  <c r="B58" i="1"/>
  <c r="A58" i="1"/>
  <c r="I57" i="1"/>
  <c r="G57" i="1"/>
  <c r="E57" i="1"/>
  <c r="B57" i="1"/>
  <c r="A57" i="1"/>
  <c r="I56" i="1"/>
  <c r="G56" i="1"/>
  <c r="E56" i="1"/>
  <c r="B56" i="1"/>
  <c r="A56" i="1"/>
  <c r="I55" i="1"/>
  <c r="G55" i="1"/>
  <c r="E55" i="1"/>
  <c r="B55" i="1"/>
  <c r="A55" i="1"/>
  <c r="I54" i="1"/>
  <c r="G54" i="1"/>
  <c r="E54" i="1"/>
  <c r="B54" i="1"/>
  <c r="A54" i="1"/>
  <c r="I53" i="1"/>
  <c r="G53" i="1"/>
  <c r="E53" i="1"/>
  <c r="B53" i="1"/>
  <c r="A53" i="1"/>
  <c r="I52" i="1"/>
  <c r="G52" i="1"/>
  <c r="E52" i="1"/>
  <c r="B52" i="1"/>
  <c r="A52" i="1"/>
  <c r="I51" i="1"/>
  <c r="G51" i="1"/>
  <c r="E51" i="1"/>
  <c r="B51" i="1"/>
  <c r="A51" i="1"/>
  <c r="I50" i="1"/>
  <c r="G50" i="1"/>
  <c r="E50" i="1"/>
  <c r="B50" i="1"/>
  <c r="A50" i="1"/>
  <c r="I49" i="1"/>
  <c r="G49" i="1"/>
  <c r="E49" i="1"/>
  <c r="B49" i="1"/>
  <c r="A49" i="1"/>
  <c r="I48" i="1"/>
  <c r="G48" i="1"/>
  <c r="E48" i="1"/>
  <c r="B48" i="1"/>
  <c r="A48" i="1"/>
  <c r="I47" i="1"/>
  <c r="G47" i="1"/>
  <c r="E47" i="1"/>
  <c r="B47" i="1"/>
  <c r="A47" i="1"/>
  <c r="I46" i="1"/>
  <c r="G46" i="1"/>
  <c r="E46" i="1"/>
  <c r="B46" i="1"/>
  <c r="A46" i="1"/>
  <c r="I45" i="1"/>
  <c r="G45" i="1"/>
  <c r="E45" i="1"/>
  <c r="B45" i="1"/>
  <c r="A45" i="1"/>
  <c r="I44" i="1"/>
  <c r="G44" i="1"/>
  <c r="E44" i="1"/>
  <c r="B44" i="1"/>
  <c r="A44" i="1"/>
  <c r="I43" i="1"/>
  <c r="G43" i="1"/>
  <c r="E43" i="1"/>
  <c r="B43" i="1"/>
  <c r="A43" i="1"/>
  <c r="I42" i="1"/>
  <c r="G42" i="1"/>
  <c r="E42" i="1"/>
  <c r="B42" i="1"/>
  <c r="A42" i="1"/>
  <c r="A37" i="1"/>
  <c r="A36" i="1"/>
  <c r="A33" i="1"/>
  <c r="A31" i="1"/>
  <c r="A30" i="1"/>
  <c r="A29" i="1"/>
  <c r="A28" i="1"/>
  <c r="A27" i="1"/>
  <c r="A26" i="1"/>
  <c r="A25" i="1"/>
  <c r="A24" i="1"/>
  <c r="A23" i="1"/>
  <c r="A22" i="1"/>
  <c r="A21" i="1"/>
  <c r="A20" i="1"/>
  <c r="A19" i="1"/>
  <c r="A17" i="1"/>
  <c r="A16" i="1"/>
  <c r="A15" i="1"/>
  <c r="A13" i="1"/>
  <c r="A12" i="1"/>
  <c r="A11" i="1"/>
  <c r="A10" i="1"/>
  <c r="D9" i="1"/>
  <c r="C9" i="1"/>
  <c r="B9" i="1"/>
  <c r="A9" i="1"/>
  <c r="A8" i="1"/>
  <c r="C7" i="1"/>
  <c r="B7" i="1"/>
  <c r="A7" i="1"/>
  <c r="A6" i="1"/>
  <c r="A5" i="1"/>
  <c r="A4" i="1"/>
  <c r="A3" i="1"/>
  <c r="A2" i="1"/>
  <c r="A1" i="1"/>
  <c r="E33" i="2" l="1"/>
  <c r="E32" i="2"/>
  <c r="K2" i="6" l="1"/>
  <c r="K2" i="7"/>
  <c r="K2" i="8"/>
  <c r="G33" i="2" s="1"/>
  <c r="K2" i="9"/>
  <c r="G32" i="2" s="1"/>
  <c r="O2" i="11"/>
  <c r="I34" i="7" l="1"/>
  <c r="G66" i="8" l="1"/>
  <c r="G29" i="8" s="1"/>
  <c r="H265" i="1"/>
  <c r="G68" i="8" s="1"/>
  <c r="H258" i="1"/>
  <c r="G65" i="9" s="1"/>
  <c r="G28" i="9" s="1"/>
  <c r="H257" i="1"/>
  <c r="C265" i="1" l="1"/>
  <c r="B265" i="1" l="1"/>
  <c r="I245" i="1"/>
  <c r="H245" i="1"/>
  <c r="G245" i="1"/>
  <c r="L19" i="5" l="1"/>
  <c r="L16" i="5"/>
  <c r="M2" i="3" l="1"/>
  <c r="C264" i="1" l="1"/>
  <c r="B264" i="1"/>
  <c r="B227" i="1" l="1"/>
  <c r="K9" i="9" l="1"/>
  <c r="K9" i="11"/>
  <c r="M9" i="10"/>
  <c r="K9" i="8"/>
  <c r="K9" i="7"/>
  <c r="L1" i="4"/>
  <c r="M1" i="3"/>
  <c r="A29" i="2"/>
  <c r="N1" i="5"/>
  <c r="K9" i="6"/>
  <c r="AO46" i="1" l="1"/>
  <c r="AO42" i="1"/>
  <c r="AO43" i="1" l="1"/>
  <c r="AO44" i="1"/>
  <c r="AO45" i="1"/>
  <c r="AO73" i="1"/>
  <c r="AO67" i="1"/>
  <c r="AO75" i="1"/>
  <c r="AO48" i="1"/>
  <c r="AO68" i="1"/>
  <c r="AO76" i="1"/>
  <c r="AO49" i="1"/>
  <c r="AO69" i="1"/>
  <c r="AO77" i="1"/>
  <c r="AO70" i="1"/>
  <c r="AO78" i="1"/>
  <c r="AO47" i="1"/>
  <c r="AO74" i="1"/>
  <c r="AO71" i="1"/>
  <c r="AO79" i="1"/>
  <c r="AO72" i="1"/>
  <c r="P63" i="1"/>
  <c r="B169" i="1" l="1"/>
  <c r="G65" i="7" s="1"/>
  <c r="B168" i="1"/>
  <c r="G66" i="6" s="1"/>
  <c r="E171" i="1"/>
  <c r="I94" i="1" l="1"/>
  <c r="M22" i="3" l="1"/>
  <c r="I19" i="3"/>
  <c r="K13" i="3"/>
  <c r="D256" i="1"/>
  <c r="D264" i="1" s="1"/>
  <c r="E13" i="3"/>
  <c r="C15" i="3"/>
  <c r="A34" i="1"/>
  <c r="J12" i="5" l="1"/>
  <c r="N12" i="5" s="1"/>
  <c r="A10" i="5"/>
  <c r="A10" i="11"/>
  <c r="A10" i="7"/>
  <c r="A10" i="9"/>
  <c r="A10" i="10"/>
  <c r="A10" i="6"/>
  <c r="A10" i="8"/>
  <c r="A9" i="8"/>
  <c r="A9" i="11"/>
  <c r="A9" i="7"/>
  <c r="A9" i="10"/>
  <c r="A9" i="6"/>
  <c r="A9" i="5"/>
  <c r="A9" i="9"/>
  <c r="A9" i="3"/>
  <c r="A7" i="6"/>
  <c r="A7" i="7"/>
  <c r="A4" i="10"/>
  <c r="A4" i="9"/>
  <c r="A4" i="11"/>
  <c r="A4" i="7"/>
  <c r="A4" i="8"/>
  <c r="A4" i="6"/>
  <c r="A4" i="5"/>
  <c r="E12" i="5"/>
  <c r="A5" i="10"/>
  <c r="A5" i="9"/>
  <c r="A5" i="11"/>
  <c r="A5" i="7"/>
  <c r="A5" i="8"/>
  <c r="A6" i="3"/>
  <c r="A6" i="9"/>
  <c r="A6" i="7"/>
  <c r="A6" i="8"/>
  <c r="A6" i="10"/>
  <c r="A6" i="6"/>
  <c r="A6" i="5"/>
  <c r="A10" i="3"/>
  <c r="L2" i="4" l="1"/>
  <c r="N2" i="5"/>
  <c r="C221" i="1" l="1"/>
  <c r="B212" i="1" l="1"/>
  <c r="B141" i="1" s="1"/>
  <c r="C226" i="1" l="1"/>
  <c r="C225" i="1"/>
  <c r="C227" i="1" l="1"/>
  <c r="C223" i="1" l="1"/>
  <c r="B223" i="1" l="1"/>
  <c r="M2" i="10" l="1"/>
  <c r="A30" i="2"/>
  <c r="K40" i="9" l="1"/>
  <c r="G47" i="7" l="1"/>
  <c r="G48" i="6"/>
  <c r="G118" i="1" l="1"/>
  <c r="L118" i="1"/>
  <c r="G34" i="6" s="1"/>
  <c r="L117" i="1"/>
  <c r="G117" i="1"/>
  <c r="G33" i="7" l="1"/>
  <c r="G42" i="9" l="1"/>
  <c r="G43" i="8"/>
  <c r="G48" i="8"/>
  <c r="G47" i="9"/>
  <c r="K47" i="9" s="1"/>
  <c r="K42" i="9" l="1"/>
  <c r="L116" i="1"/>
  <c r="L119" i="1" s="1"/>
  <c r="G23" i="7" l="1"/>
  <c r="G23" i="6"/>
  <c r="G116" i="1"/>
  <c r="G119" i="1" s="1"/>
  <c r="K23" i="9" l="1"/>
  <c r="I62" i="9" l="1"/>
  <c r="I66" i="9" s="1"/>
  <c r="I48" i="9"/>
  <c r="I63" i="8"/>
  <c r="I69" i="8" s="1"/>
  <c r="I49" i="8"/>
  <c r="K48" i="8"/>
  <c r="K43" i="8"/>
  <c r="K41" i="8"/>
  <c r="I56" i="7" l="1"/>
  <c r="I48" i="7"/>
  <c r="K47" i="7"/>
  <c r="K40" i="7"/>
  <c r="K23" i="7"/>
  <c r="I24" i="7"/>
  <c r="I26" i="7" s="1"/>
  <c r="K33" i="7"/>
  <c r="I50" i="7" l="1"/>
  <c r="B178" i="1"/>
  <c r="B180" i="1"/>
  <c r="E178" i="1"/>
  <c r="E179" i="1"/>
  <c r="E180" i="1"/>
  <c r="B147" i="1" l="1"/>
  <c r="B146" i="1"/>
  <c r="E181" i="1"/>
  <c r="B179" i="1" l="1"/>
  <c r="B181" i="1" s="1"/>
  <c r="B167" i="1" l="1"/>
  <c r="G57" i="7" s="1"/>
  <c r="B171" i="1"/>
  <c r="B166" i="1"/>
  <c r="G58" i="6" s="1"/>
  <c r="I66" i="6" l="1"/>
  <c r="P94" i="1"/>
  <c r="I57" i="7"/>
  <c r="I58" i="7" s="1"/>
  <c r="I28" i="6" s="1"/>
  <c r="R94" i="1"/>
  <c r="Z94" i="1"/>
  <c r="AH94" i="1"/>
  <c r="V94" i="1"/>
  <c r="AD94" i="1"/>
  <c r="AL94" i="1"/>
  <c r="X94" i="1"/>
  <c r="AF94" i="1"/>
  <c r="AN94" i="1"/>
  <c r="T94" i="1"/>
  <c r="AB94" i="1"/>
  <c r="AJ94" i="1"/>
  <c r="K57" i="7" l="1"/>
  <c r="A7" i="3"/>
  <c r="A4" i="3"/>
  <c r="A5" i="3" l="1"/>
  <c r="A5" i="6"/>
  <c r="A5" i="5"/>
  <c r="Z63" i="1"/>
  <c r="AH63" i="1"/>
  <c r="R63" i="1"/>
  <c r="X63" i="1"/>
  <c r="AF63" i="1"/>
  <c r="AN63" i="1"/>
  <c r="AB63" i="1"/>
  <c r="AJ63" i="1"/>
  <c r="T63" i="1"/>
  <c r="V63" i="1"/>
  <c r="AD63" i="1"/>
  <c r="AL63" i="1"/>
  <c r="I65" i="1"/>
  <c r="K48" i="6" l="1"/>
  <c r="I48" i="6" s="1"/>
  <c r="K41" i="6"/>
  <c r="I41" i="6" s="1"/>
  <c r="K34" i="6"/>
  <c r="K23" i="6"/>
  <c r="I23" i="6" s="1"/>
  <c r="I24" i="6" l="1"/>
  <c r="I26" i="6"/>
  <c r="I35" i="6" s="1"/>
  <c r="I67" i="6"/>
  <c r="I69" i="6" s="1"/>
  <c r="I75" i="6" s="1"/>
  <c r="K66" i="6"/>
  <c r="I58" i="6"/>
  <c r="I59" i="6" s="1"/>
  <c r="K58" i="6" l="1"/>
  <c r="I78" i="6"/>
  <c r="I247" i="1" l="1"/>
  <c r="H247" i="1" l="1"/>
  <c r="G247" i="1"/>
  <c r="D265" i="1" l="1"/>
  <c r="G46" i="7" l="1"/>
  <c r="G47" i="6"/>
  <c r="K47" i="6" l="1"/>
  <c r="I47" i="6" s="1"/>
  <c r="K46" i="7"/>
  <c r="G64" i="7"/>
  <c r="G65" i="6" s="1"/>
  <c r="K65" i="6" l="1"/>
  <c r="K64" i="7"/>
  <c r="K68" i="6" l="1"/>
  <c r="K31" i="10" l="1"/>
  <c r="J20" i="5"/>
  <c r="G14" i="2" s="1"/>
  <c r="K68" i="8"/>
  <c r="N20" i="5" s="1"/>
  <c r="J29" i="5"/>
  <c r="G21" i="2" s="1"/>
  <c r="K65" i="9"/>
  <c r="K28" i="9" s="1"/>
  <c r="I28" i="9" s="1"/>
  <c r="N29" i="5" l="1"/>
  <c r="L29" i="5" s="1"/>
  <c r="J25" i="5"/>
  <c r="G17" i="2" s="1"/>
  <c r="K30" i="10"/>
  <c r="K66" i="8"/>
  <c r="K29" i="8" s="1"/>
  <c r="I29" i="8" s="1"/>
  <c r="L20" i="5"/>
  <c r="N25" i="5" l="1"/>
  <c r="L25" i="5" s="1"/>
  <c r="I65" i="7" l="1"/>
  <c r="I66" i="7" s="1"/>
  <c r="I68" i="7" s="1"/>
  <c r="I72" i="7" s="1"/>
  <c r="I75" i="7" s="1"/>
  <c r="I82" i="6" s="1"/>
  <c r="K65" i="7" l="1"/>
  <c r="E20" i="5" l="1"/>
  <c r="I14" i="2" s="1"/>
  <c r="K14" i="2" s="1"/>
  <c r="G20" i="5" l="1"/>
  <c r="D245" i="1" l="1"/>
  <c r="D247" i="1" s="1"/>
  <c r="C245" i="1" l="1"/>
  <c r="C247" i="1" s="1"/>
  <c r="B245" i="1" l="1"/>
  <c r="B247" i="1" s="1"/>
  <c r="B258" i="1" l="1"/>
  <c r="B257" i="1" l="1"/>
  <c r="C258" i="1"/>
  <c r="D258" i="1" s="1"/>
  <c r="G71" i="7" s="1"/>
  <c r="G28" i="7" s="1"/>
  <c r="K71" i="7" l="1"/>
  <c r="K28" i="7" s="1"/>
  <c r="E29" i="5"/>
  <c r="C257" i="1"/>
  <c r="C259" i="1" s="1"/>
  <c r="B259" i="1"/>
  <c r="C149" i="1"/>
  <c r="C146" i="1"/>
  <c r="D257" i="1" l="1"/>
  <c r="G72" i="6" s="1"/>
  <c r="D259" i="1"/>
  <c r="F259" i="1" s="1"/>
  <c r="G259" i="1" s="1"/>
  <c r="H259" i="1" s="1"/>
  <c r="I21" i="2"/>
  <c r="G29" i="5"/>
  <c r="C147" i="1"/>
  <c r="K21" i="2" l="1"/>
  <c r="K72" i="6"/>
  <c r="E25" i="5"/>
  <c r="I17" i="2" s="1"/>
  <c r="K17" i="2" l="1"/>
  <c r="I30" i="10"/>
  <c r="M30" i="10" s="1"/>
  <c r="G25" i="5"/>
  <c r="G44" i="9"/>
  <c r="K44" i="9" s="1"/>
  <c r="G45" i="8"/>
  <c r="K45" i="8" s="1"/>
  <c r="B188" i="1" l="1"/>
  <c r="B129" i="1" l="1"/>
  <c r="B206" i="1" l="1"/>
  <c r="G38" i="7"/>
  <c r="G39" i="6"/>
  <c r="K39" i="6" l="1"/>
  <c r="K38" i="7"/>
  <c r="B138" i="1"/>
  <c r="I39" i="6" l="1"/>
  <c r="G45" i="6"/>
  <c r="G44" i="7"/>
  <c r="K45" i="6" l="1"/>
  <c r="K44" i="7"/>
  <c r="I45" i="6" l="1"/>
  <c r="D188" i="1" l="1"/>
  <c r="C129" i="1" s="1"/>
  <c r="G38" i="9" l="1"/>
  <c r="G39" i="8"/>
  <c r="K39" i="8" l="1"/>
  <c r="K38" i="9"/>
  <c r="G33" i="8" l="1"/>
  <c r="K33" i="8" s="1"/>
  <c r="G32" i="9"/>
  <c r="K32" i="9" s="1"/>
  <c r="G39" i="9" l="1"/>
  <c r="G40" i="8"/>
  <c r="K40" i="8" l="1"/>
  <c r="G60" i="9"/>
  <c r="K60" i="9" s="1"/>
  <c r="K39" i="9"/>
  <c r="G61" i="8" l="1"/>
  <c r="K61" i="8" s="1"/>
  <c r="G42" i="8" l="1"/>
  <c r="G41" i="9"/>
  <c r="K41" i="9" l="1"/>
  <c r="G59" i="9"/>
  <c r="G60" i="8" s="1"/>
  <c r="K42" i="8"/>
  <c r="K60" i="8" l="1"/>
  <c r="K59" i="9"/>
  <c r="C120" i="1" l="1"/>
  <c r="C119" i="1"/>
  <c r="G34" i="8" l="1"/>
  <c r="K34" i="8" s="1"/>
  <c r="G33" i="9"/>
  <c r="K33" i="9" s="1"/>
  <c r="G23" i="8"/>
  <c r="G23" i="9"/>
  <c r="I23" i="9" l="1"/>
  <c r="K23" i="8"/>
  <c r="I23" i="8" s="1"/>
  <c r="E245" i="1" l="1"/>
  <c r="E247" i="1" s="1"/>
  <c r="F245" i="1"/>
  <c r="F247" i="1" s="1"/>
  <c r="J247" i="1" l="1"/>
  <c r="B228" i="1" s="1"/>
  <c r="C228" i="1" l="1"/>
  <c r="C230" i="1" s="1"/>
  <c r="C232" i="1" s="1"/>
  <c r="C234" i="1" s="1"/>
  <c r="C216" i="1" s="1"/>
  <c r="B230" i="1"/>
  <c r="B233" i="1" l="1"/>
  <c r="B234" i="1" s="1"/>
  <c r="B216" i="1" s="1"/>
  <c r="C139" i="1"/>
  <c r="B198" i="1"/>
  <c r="B199" i="1" s="1"/>
  <c r="B139" i="1" s="1"/>
  <c r="G46" i="8" l="1"/>
  <c r="K46" i="8" s="1"/>
  <c r="G45" i="9"/>
  <c r="K45" i="9" s="1"/>
  <c r="G45" i="7"/>
  <c r="K45" i="7" s="1"/>
  <c r="G46" i="6"/>
  <c r="K46" i="6" s="1"/>
  <c r="I46" i="6" s="1"/>
  <c r="B193" i="1" l="1"/>
  <c r="B194" i="1" s="1"/>
  <c r="E216" i="1" l="1"/>
  <c r="B128" i="1"/>
  <c r="G38" i="6" s="1"/>
  <c r="C193" i="1"/>
  <c r="C194" i="1" s="1"/>
  <c r="B127" i="1" s="1"/>
  <c r="G37" i="7" s="1"/>
  <c r="K37" i="7" l="1"/>
  <c r="K38" i="6"/>
  <c r="I38" i="6" l="1"/>
  <c r="C128" i="1" l="1"/>
  <c r="G38" i="8" s="1"/>
  <c r="C127" i="1" l="1"/>
  <c r="G37" i="9" s="1"/>
  <c r="K38" i="8"/>
  <c r="K37" i="9" l="1"/>
  <c r="C217" i="1" l="1"/>
  <c r="C218" i="1" s="1"/>
  <c r="B143" i="1" s="1"/>
  <c r="B217" i="1" l="1"/>
  <c r="B218" i="1" s="1"/>
  <c r="B144" i="1" s="1"/>
  <c r="C143" i="1" l="1"/>
  <c r="C144" i="1" l="1"/>
  <c r="C137" i="1" l="1"/>
  <c r="G43" i="9" l="1"/>
  <c r="G44" i="8"/>
  <c r="K44" i="8" l="1"/>
  <c r="K43" i="9"/>
  <c r="G58" i="9"/>
  <c r="G59" i="8" l="1"/>
  <c r="K58" i="9"/>
  <c r="K59" i="8" l="1"/>
  <c r="B104" i="1" l="1"/>
  <c r="C151" i="1" l="1"/>
  <c r="B137" i="1" l="1"/>
  <c r="B131" i="1"/>
  <c r="B153" i="1"/>
  <c r="B124" i="1"/>
  <c r="G33" i="6" l="1"/>
  <c r="K33" i="6" s="1"/>
  <c r="G32" i="7"/>
  <c r="K32" i="7" s="1"/>
  <c r="G39" i="7"/>
  <c r="G40" i="6"/>
  <c r="G43" i="7"/>
  <c r="G44" i="6"/>
  <c r="B151" i="1"/>
  <c r="B133" i="1"/>
  <c r="B134" i="1" l="1"/>
  <c r="G42" i="6"/>
  <c r="G41" i="7"/>
  <c r="K41" i="7" s="1"/>
  <c r="K40" i="6"/>
  <c r="K39" i="7"/>
  <c r="G63" i="7"/>
  <c r="K63" i="7" s="1"/>
  <c r="K44" i="6"/>
  <c r="I44" i="6" s="1"/>
  <c r="K43" i="7"/>
  <c r="G61" i="7"/>
  <c r="G62" i="6" s="1"/>
  <c r="B152" i="1"/>
  <c r="K62" i="6" l="1"/>
  <c r="B105" i="1"/>
  <c r="I40" i="6"/>
  <c r="K42" i="6"/>
  <c r="I42" i="6" s="1"/>
  <c r="K61" i="7"/>
  <c r="G64" i="6"/>
  <c r="K64" i="6" s="1"/>
  <c r="G43" i="6"/>
  <c r="G42" i="7"/>
  <c r="B149" i="1"/>
  <c r="G74" i="6" s="1"/>
  <c r="B106" i="1" l="1"/>
  <c r="G21" i="6" s="1"/>
  <c r="K21" i="6" s="1"/>
  <c r="B110" i="1"/>
  <c r="K43" i="6"/>
  <c r="I43" i="6" s="1"/>
  <c r="I49" i="6" s="1"/>
  <c r="I51" i="6" s="1"/>
  <c r="I55" i="6" s="1"/>
  <c r="G49" i="6"/>
  <c r="G21" i="7"/>
  <c r="K21" i="7" s="1"/>
  <c r="K74" i="6"/>
  <c r="G29" i="6"/>
  <c r="K49" i="6"/>
  <c r="B111" i="1"/>
  <c r="G62" i="7"/>
  <c r="G63" i="6" s="1"/>
  <c r="K42" i="7"/>
  <c r="K48" i="7" s="1"/>
  <c r="G48" i="7"/>
  <c r="K63" i="6" l="1"/>
  <c r="K67" i="6" s="1"/>
  <c r="K69" i="6" s="1"/>
  <c r="G67" i="6"/>
  <c r="B98" i="1"/>
  <c r="B103" i="1"/>
  <c r="K62" i="7"/>
  <c r="K66" i="7" s="1"/>
  <c r="G66" i="7"/>
  <c r="G22" i="6"/>
  <c r="K22" i="6" s="1"/>
  <c r="G22" i="7"/>
  <c r="K22" i="7" s="1"/>
  <c r="K29" i="6"/>
  <c r="I31" i="10"/>
  <c r="M31" i="10" s="1"/>
  <c r="E30" i="5" l="1"/>
  <c r="I22" i="2" s="1"/>
  <c r="G68" i="7"/>
  <c r="G72" i="7" s="1"/>
  <c r="E15" i="5" s="1"/>
  <c r="I9" i="2" s="1"/>
  <c r="B182" i="1"/>
  <c r="B183" i="1" s="1"/>
  <c r="K67" i="7" s="1"/>
  <c r="K68" i="7" s="1"/>
  <c r="K72" i="7" s="1"/>
  <c r="I20" i="10" s="1"/>
  <c r="G17" i="6"/>
  <c r="G17" i="7"/>
  <c r="K17" i="7" s="1"/>
  <c r="G20" i="6"/>
  <c r="G20" i="7"/>
  <c r="E26" i="5"/>
  <c r="E182" i="1"/>
  <c r="E183" i="1" s="1"/>
  <c r="G69" i="6"/>
  <c r="G75" i="6" s="1"/>
  <c r="E18" i="5" s="1"/>
  <c r="I12" i="2" s="1"/>
  <c r="I29" i="10"/>
  <c r="K75" i="6"/>
  <c r="K20" i="6" l="1"/>
  <c r="K24" i="6" s="1"/>
  <c r="G24" i="6"/>
  <c r="I18" i="2"/>
  <c r="E32" i="5"/>
  <c r="G26" i="6"/>
  <c r="K17" i="6"/>
  <c r="K26" i="6" s="1"/>
  <c r="K80" i="6" s="1"/>
  <c r="G24" i="7"/>
  <c r="G26" i="7" s="1"/>
  <c r="G34" i="7" s="1"/>
  <c r="G50" i="7" s="1"/>
  <c r="G54" i="7" s="1"/>
  <c r="K20" i="7"/>
  <c r="K24" i="7" s="1"/>
  <c r="K26" i="7" s="1"/>
  <c r="K34" i="7" l="1"/>
  <c r="K50" i="7" s="1"/>
  <c r="K77" i="7"/>
  <c r="G56" i="7"/>
  <c r="K54" i="7"/>
  <c r="K56" i="7" s="1"/>
  <c r="K58" i="7" s="1"/>
  <c r="B172" i="1"/>
  <c r="B173" i="1" s="1"/>
  <c r="K55" i="7" s="1"/>
  <c r="D110" i="1"/>
  <c r="F110" i="1"/>
  <c r="I19" i="10" l="1"/>
  <c r="I23" i="10" s="1"/>
  <c r="K75" i="7"/>
  <c r="K78" i="7" s="1"/>
  <c r="G58" i="7"/>
  <c r="E14" i="5"/>
  <c r="I8" i="2" l="1"/>
  <c r="G75" i="7"/>
  <c r="G28" i="6"/>
  <c r="K28" i="6" l="1"/>
  <c r="K35" i="6" s="1"/>
  <c r="K51" i="6" s="1"/>
  <c r="K55" i="6" s="1"/>
  <c r="G35" i="6"/>
  <c r="G51" i="6" s="1"/>
  <c r="G55" i="6" s="1"/>
  <c r="E172" i="1" s="1"/>
  <c r="E173" i="1" s="1"/>
  <c r="G57" i="6" s="1"/>
  <c r="G59" i="6" l="1"/>
  <c r="K57" i="6"/>
  <c r="K59" i="6" s="1"/>
  <c r="I28" i="10" l="1"/>
  <c r="I34" i="10" s="1"/>
  <c r="I37" i="10" s="1"/>
  <c r="K78" i="6"/>
  <c r="G78" i="6"/>
  <c r="G82" i="6" s="1"/>
  <c r="E17" i="5"/>
  <c r="I11" i="2" l="1"/>
  <c r="E22" i="5"/>
  <c r="E15" i="3" s="1"/>
  <c r="K15" i="3" s="1"/>
  <c r="K82" i="6"/>
  <c r="K81" i="6"/>
  <c r="D98" i="1" l="1"/>
  <c r="G17" i="9" l="1"/>
  <c r="G17" i="8"/>
  <c r="C153" i="1" l="1"/>
  <c r="D111" i="1" l="1"/>
  <c r="G22" i="9" l="1"/>
  <c r="G22" i="8"/>
  <c r="B158" i="1" l="1"/>
  <c r="B162" i="1" l="1"/>
  <c r="B157" i="1" l="1"/>
  <c r="B108" i="1" l="1"/>
  <c r="B161" i="1" l="1"/>
  <c r="B109" i="1" l="1"/>
  <c r="B112" i="1"/>
  <c r="B116" i="1" l="1"/>
  <c r="B119" i="1" l="1"/>
  <c r="B120" i="1"/>
  <c r="D106" i="1" l="1"/>
  <c r="F106" i="1"/>
  <c r="D105" i="1" l="1"/>
  <c r="F105" i="1"/>
  <c r="C140" i="1" l="1"/>
  <c r="G46" i="9" l="1"/>
  <c r="G47" i="8"/>
  <c r="K47" i="8" l="1"/>
  <c r="K49" i="8" s="1"/>
  <c r="G49" i="8"/>
  <c r="G61" i="9"/>
  <c r="K46" i="9"/>
  <c r="K48" i="9" s="1"/>
  <c r="G48" i="9"/>
  <c r="G62" i="9" l="1"/>
  <c r="G62" i="8"/>
  <c r="K61" i="9"/>
  <c r="K62" i="9" s="1"/>
  <c r="N30" i="5" l="1"/>
  <c r="K66" i="9"/>
  <c r="N15" i="5" s="1"/>
  <c r="K62" i="8"/>
  <c r="K63" i="8" s="1"/>
  <c r="G63" i="8"/>
  <c r="J30" i="5"/>
  <c r="G66" i="9"/>
  <c r="J26" i="5" l="1"/>
  <c r="G69" i="8"/>
  <c r="J18" i="5" s="1"/>
  <c r="K29" i="10"/>
  <c r="M29" i="10" s="1"/>
  <c r="N26" i="5"/>
  <c r="K69" i="8"/>
  <c r="N18" i="5" s="1"/>
  <c r="J15" i="5"/>
  <c r="K20" i="10"/>
  <c r="M20" i="10" s="1"/>
  <c r="G22" i="2"/>
  <c r="K22" i="2" s="1"/>
  <c r="G30" i="5"/>
  <c r="L30" i="5"/>
  <c r="N32" i="5" l="1"/>
  <c r="L26" i="5"/>
  <c r="L32" i="5" s="1"/>
  <c r="G9" i="2"/>
  <c r="K9" i="2" s="1"/>
  <c r="G15" i="5"/>
  <c r="G18" i="5"/>
  <c r="G12" i="2"/>
  <c r="K12" i="2" s="1"/>
  <c r="D104" i="1"/>
  <c r="L15" i="5"/>
  <c r="L18" i="5"/>
  <c r="J32" i="5"/>
  <c r="G26" i="5"/>
  <c r="G32" i="5" s="1"/>
  <c r="G18" i="2"/>
  <c r="K18" i="2" s="1"/>
  <c r="F104" i="1"/>
  <c r="G21" i="8" l="1"/>
  <c r="G21" i="9"/>
  <c r="K21" i="8"/>
  <c r="I21" i="8" s="1"/>
  <c r="K21" i="9"/>
  <c r="I21" i="9" l="1"/>
  <c r="D103" i="1" l="1"/>
  <c r="G20" i="8" l="1"/>
  <c r="G24" i="8" s="1"/>
  <c r="G26" i="8" s="1"/>
  <c r="G20" i="9"/>
  <c r="G24" i="9" s="1"/>
  <c r="G26" i="9" s="1"/>
  <c r="G34" i="9" s="1"/>
  <c r="G50" i="9" s="1"/>
  <c r="G54" i="9" s="1"/>
  <c r="G28" i="8" l="1"/>
  <c r="G35" i="8" s="1"/>
  <c r="G51" i="8" s="1"/>
  <c r="G55" i="8" s="1"/>
  <c r="G69" i="9"/>
  <c r="J14" i="5"/>
  <c r="K19" i="10"/>
  <c r="G14" i="5" l="1"/>
  <c r="G8" i="2"/>
  <c r="G72" i="8"/>
  <c r="G77" i="8" s="1"/>
  <c r="K28" i="10"/>
  <c r="J17" i="5"/>
  <c r="J22" i="5" s="1"/>
  <c r="M19" i="10"/>
  <c r="M23" i="10" s="1"/>
  <c r="K23" i="10"/>
  <c r="G11" i="2" l="1"/>
  <c r="G17" i="5"/>
  <c r="G22" i="5" s="1"/>
  <c r="G19" i="3" s="1"/>
  <c r="G22" i="3" s="1"/>
  <c r="K22" i="3" s="1"/>
  <c r="K25" i="3" s="1"/>
  <c r="K8" i="2"/>
  <c r="K34" i="10"/>
  <c r="M34" i="10" s="1"/>
  <c r="M28" i="10"/>
  <c r="K11" i="2" l="1"/>
  <c r="K37" i="10"/>
  <c r="M37" i="10" s="1"/>
  <c r="D108" i="1" l="1"/>
  <c r="D109" i="1" l="1"/>
  <c r="D112" i="1" l="1"/>
  <c r="F98" i="1" l="1"/>
  <c r="K17" i="9"/>
  <c r="I17" i="9" s="1"/>
  <c r="K17" i="8"/>
  <c r="I17" i="8" s="1"/>
  <c r="F111" i="1"/>
  <c r="F109" i="1" l="1"/>
  <c r="K22" i="9"/>
  <c r="I22" i="9" s="1"/>
  <c r="K22" i="8"/>
  <c r="I22" i="8" s="1"/>
  <c r="F103" i="1"/>
  <c r="K20" i="9" l="1"/>
  <c r="K20" i="8"/>
  <c r="F108" i="1"/>
  <c r="F112" i="1" s="1"/>
  <c r="I20" i="8" l="1"/>
  <c r="I24" i="8" s="1"/>
  <c r="I26" i="8" s="1"/>
  <c r="K24" i="8"/>
  <c r="K26" i="8" s="1"/>
  <c r="I20" i="9"/>
  <c r="I24" i="9" s="1"/>
  <c r="I26" i="9" s="1"/>
  <c r="I34" i="9" s="1"/>
  <c r="I50" i="9" s="1"/>
  <c r="I54" i="9" s="1"/>
  <c r="I69" i="9" s="1"/>
  <c r="K24" i="9"/>
  <c r="K26" i="9" s="1"/>
  <c r="K34" i="9" l="1"/>
  <c r="K50" i="9" s="1"/>
  <c r="K54" i="9" s="1"/>
  <c r="K71" i="9"/>
  <c r="K74" i="8"/>
  <c r="K28" i="8" l="1"/>
  <c r="N14" i="5"/>
  <c r="K69" i="9"/>
  <c r="K72" i="9" s="1"/>
  <c r="L14" i="5" l="1"/>
  <c r="I28" i="8"/>
  <c r="I35" i="8" s="1"/>
  <c r="I51" i="8" s="1"/>
  <c r="I55" i="8" s="1"/>
  <c r="I72" i="8" s="1"/>
  <c r="I77" i="8" s="1"/>
  <c r="K35" i="8"/>
  <c r="K51" i="8" s="1"/>
  <c r="K55" i="8" s="1"/>
  <c r="N17" i="5" l="1"/>
  <c r="K72" i="8"/>
  <c r="K77" i="8" l="1"/>
  <c r="K75" i="8"/>
  <c r="L17" i="5"/>
  <c r="L22" i="5" s="1"/>
  <c r="N22" i="5"/>
</calcChain>
</file>

<file path=xl/comments1.xml><?xml version="1.0" encoding="utf-8"?>
<comments xmlns="http://schemas.openxmlformats.org/spreadsheetml/2006/main">
  <authors>
    <author>GRUBBE2</author>
  </authors>
  <commentList>
    <comment ref="C116" authorId="0" shapeId="0">
      <text>
        <r>
          <rPr>
            <b/>
            <sz val="9"/>
            <color indexed="81"/>
            <rFont val="Tahoma"/>
            <family val="2"/>
          </rPr>
          <t>GRUBBE2:</t>
        </r>
        <r>
          <rPr>
            <sz val="9"/>
            <color indexed="81"/>
            <rFont val="Tahoma"/>
            <family val="2"/>
          </rPr>
          <t xml:space="preserve">
Rate Base links to Exhibit 37. In excel model, refer to cell R540 on Schedule B-5.  Final Rate Base amount is hard coded to avoid circular references in revenue requirement calculation.
</t>
        </r>
      </text>
    </comment>
  </commentList>
</comments>
</file>

<file path=xl/connections.xml><?xml version="1.0" encoding="utf-8"?>
<connections xmlns="http://schemas.openxmlformats.org/spreadsheetml/2006/main">
  <connection id="1" name="Query from qgpl" type="1" refreshedVersion="3">
    <dbPr connection="DRIVER={Client Access ODBC Driver (32-bit)};SYSTEM=AWWHRH;DBQ=QGPL;DFTPKGLIB=QGPL;LANGUAGEID=ENU;PKG=QGPL/DEFAULT(IBM),2,0,1,0,512;SSL=;SIGNON=;" command="SELECT TWKYRENT.GLR3, TWKYRENT.GLANI, TWKYRENT.GLDGJ, TWKYRENT.GLSBL, TWKYRENT.GLDCT, TWKYRENT.GLDOC, TWKYRENT.GLEXA, TWKYRENT.GLAA, TWKYRENT.GLOBJ, TWKYRENT.GLCO, TWKYRENT.GLMCU, TWKYRENT.GLSUB, TWKYRENT.GLEXR, TWKYRENT.GLPN, TWKYRENT.GLFY_x000d__x000a_FROM AWWHRH.QGPL.TWKYRENT TWKYRENT"/>
  </connection>
</connections>
</file>

<file path=xl/sharedStrings.xml><?xml version="1.0" encoding="utf-8"?>
<sst xmlns="http://schemas.openxmlformats.org/spreadsheetml/2006/main" count="571" uniqueCount="306">
  <si>
    <t>Line No.</t>
  </si>
  <si>
    <t>Description</t>
  </si>
  <si>
    <t>Reference</t>
  </si>
  <si>
    <t xml:space="preserve"> Adjustments</t>
  </si>
  <si>
    <t>Adjustments:</t>
  </si>
  <si>
    <t>Total Adjustments:</t>
  </si>
  <si>
    <t>Account Description</t>
  </si>
  <si>
    <t>Line</t>
  </si>
  <si>
    <t>Base Year Total</t>
  </si>
  <si>
    <t>Notes:</t>
  </si>
  <si>
    <t>Adjustment by Account</t>
  </si>
  <si>
    <t>Workpaper #:</t>
  </si>
  <si>
    <t>Excel Reference:</t>
  </si>
  <si>
    <t>Work Paper Reference:</t>
  </si>
  <si>
    <t>Base Year Financial Data:</t>
  </si>
  <si>
    <t>Line Description</t>
  </si>
  <si>
    <t>Account</t>
  </si>
  <si>
    <t>NARUC</t>
  </si>
  <si>
    <t>A</t>
  </si>
  <si>
    <t>Supporting Exhibit Reference</t>
  </si>
  <si>
    <t>Line Number</t>
  </si>
  <si>
    <t>Adjustments for Proposed Rates</t>
  </si>
  <si>
    <t>Account No.</t>
  </si>
  <si>
    <t>Account Name</t>
  </si>
  <si>
    <t>Total</t>
  </si>
  <si>
    <t>Jurisdictional</t>
  </si>
  <si>
    <t>Jurisdictional Code /</t>
  </si>
  <si>
    <t>Account Title</t>
  </si>
  <si>
    <t>Utility</t>
  </si>
  <si>
    <t>Percent</t>
  </si>
  <si>
    <t>Jurisdiction</t>
  </si>
  <si>
    <t>Explanation</t>
  </si>
  <si>
    <t>NOT APPLICABLE TO KENTUCKY-AMERICAN WATER COMPANY.</t>
  </si>
  <si>
    <t>100% JURISDICTIONAL FOR KENTUCKY-AMERICAN WATER COMPANY.</t>
  </si>
  <si>
    <t>Current Rates</t>
  </si>
  <si>
    <t>Federal Tax Calculation</t>
  </si>
  <si>
    <t>Adjusted</t>
  </si>
  <si>
    <t>Category</t>
  </si>
  <si>
    <t>Item</t>
  </si>
  <si>
    <t>Base Period</t>
  </si>
  <si>
    <t>Adjustments</t>
  </si>
  <si>
    <t>Book Revenue (+)</t>
  </si>
  <si>
    <t>Operating Revenue</t>
  </si>
  <si>
    <t>Book Deductions (-)</t>
  </si>
  <si>
    <t>O&amp;M Expenses</t>
  </si>
  <si>
    <t>Depreciation, Amortization, &amp; Cost of Removal</t>
  </si>
  <si>
    <t>Taxes Other Than Income</t>
  </si>
  <si>
    <t>Current State Income Tax</t>
  </si>
  <si>
    <t>Interest Expense</t>
  </si>
  <si>
    <t>Total Book Deductions (Sum Lines 5 - 10)</t>
  </si>
  <si>
    <t>Book Pre-Tax Income (Line 2 + Line 11)</t>
  </si>
  <si>
    <t>Reconciling Items</t>
  </si>
  <si>
    <t>Permanent Differences:
(Deduction) or Reversal of Deduction</t>
  </si>
  <si>
    <t>Non-Deductible Meals</t>
  </si>
  <si>
    <t>Non-Deductible Penalties and Mandatory Dividends</t>
  </si>
  <si>
    <t>Pre-Tax Income After Perm. Differences (Line 13 + Line 17 + Line 18)</t>
  </si>
  <si>
    <t>Temporary Differences:
(Deduction) or Reversal of Deduction; Revenue or (Reversal of Revenue)</t>
  </si>
  <si>
    <t>Deduct Tax Depreciation (State or Federal)</t>
  </si>
  <si>
    <t>Reverse Deduction of Book Depreciation</t>
  </si>
  <si>
    <t>Reverse Deduction of Amortization of Property Losses</t>
  </si>
  <si>
    <t>Reverse Deduction of Amortization of UPAA</t>
  </si>
  <si>
    <t>Reverse Deduction of Deferred Maintenance Amortization</t>
  </si>
  <si>
    <t>Deduct Actual Deferred Maintenance Expenditures</t>
  </si>
  <si>
    <t>Reverse All CIAC Amortization Credits</t>
  </si>
  <si>
    <t>Reflect Actual Taxable CIAC Received</t>
  </si>
  <si>
    <t>Reflect Repairs Deduction</t>
  </si>
  <si>
    <t>Reflect Actual Cost of Removal</t>
  </si>
  <si>
    <t>Net Temporary (Deductions) or Reversal of Deductions (Sum Lines 22 - 32)</t>
  </si>
  <si>
    <t>Pre-Tax Income After Permanent and Temporary Differences (Line 19 + Line 33)</t>
  </si>
  <si>
    <t>Calculation of Current Federal Income Taxes</t>
  </si>
  <si>
    <t>Tax Rate</t>
  </si>
  <si>
    <t>Current Taxes (Line 35 x Line 38)</t>
  </si>
  <si>
    <t>Adjustment For Tax Provision</t>
  </si>
  <si>
    <t xml:space="preserve">Total Current Taxes </t>
  </si>
  <si>
    <t>Less:  Prior Year Adjustment</t>
  </si>
  <si>
    <t>Total Federal Income Taxes - Current (Line 41 - Line 42)</t>
  </si>
  <si>
    <t>Calculation of Deferred Federal Income Taxes</t>
  </si>
  <si>
    <t>Federal Defered Taxes Related to UPIS, CIAC, and Repairs</t>
  </si>
  <si>
    <t>Federal Defered Taxes Related to Deferred Maintenance</t>
  </si>
  <si>
    <t>Federal Defered Taxes Related to Property Losses</t>
  </si>
  <si>
    <t>Federal Defered Taxes Related to Cost of Removal</t>
  </si>
  <si>
    <t>Federal Defered Taxes  - Prior Year</t>
  </si>
  <si>
    <t>Items Deferred</t>
  </si>
  <si>
    <t>Sum Items Deferred</t>
  </si>
  <si>
    <t>Amortization of Deferred Income Tax Assets &amp; Liabilties</t>
  </si>
  <si>
    <t>Amortization of Deferred Regulatory Tax Assets &amp; Tax Liabilities</t>
  </si>
  <si>
    <t>Amortization of Deferred ITC</t>
  </si>
  <si>
    <t>Sum Total Federal Deferred Taxes + Amortization of ITC</t>
  </si>
  <si>
    <t>Total Current + Deferred Federal Income Taxes + Amortization of ITC (Line 43 + Line 59)</t>
  </si>
  <si>
    <t>Reverse Book Cost of Removal</t>
  </si>
  <si>
    <t>State Tax Calculation</t>
  </si>
  <si>
    <t>Calculation of Current State Income Taxes</t>
  </si>
  <si>
    <t>Total State Income Taxes (Line 41 - Line 42)</t>
  </si>
  <si>
    <t>Calculation of Deferred State Income Taxes</t>
  </si>
  <si>
    <t>State Defered Taxes Related to UPIS, CIAC, and Repairs</t>
  </si>
  <si>
    <t>State Defered Taxes Related to Deferred Maintenance</t>
  </si>
  <si>
    <t>State Defered Taxes Related to Property Losses</t>
  </si>
  <si>
    <t>State Defered Taxes Related to Cost of Removal</t>
  </si>
  <si>
    <t>State Defered Taxes  - Prior Year</t>
  </si>
  <si>
    <t>Sum Total Deferred Taxes</t>
  </si>
  <si>
    <t>Total Current + Deferred State Income Taxes (Line 43 + Line 57)</t>
  </si>
  <si>
    <t>At Proposed Rates</t>
  </si>
  <si>
    <t>Forecast Period</t>
  </si>
  <si>
    <t>Total Book Deductions (Sum Lines 5 - 9)</t>
  </si>
  <si>
    <t>Book Pre-Tax Income (Line 2 + Line 10)</t>
  </si>
  <si>
    <t>Pre-Tax Income After Perm. Differences (Line 12 + Line 16 + Line 17)</t>
  </si>
  <si>
    <t>Net Temporary (Deductions) or Reversal of Deductions (Sum Lines 21 - 31)</t>
  </si>
  <si>
    <t>Pre-Tax Income After Permanent and Temporary Differences (Line 18 + Line 32)</t>
  </si>
  <si>
    <t>Current Taxes (Line 34 x Line 37)</t>
  </si>
  <si>
    <t>Total Current + Deferred Federal Income Taxes + Amortization of ITC (Line 38 + Line 52)</t>
  </si>
  <si>
    <t>Total Current + Deferred State Income Taxes (Line 38 + Line 50)</t>
  </si>
  <si>
    <t>At Current Rates</t>
  </si>
  <si>
    <t>Present Rates</t>
  </si>
  <si>
    <t>Base</t>
  </si>
  <si>
    <t>Forecasted</t>
  </si>
  <si>
    <t>Period</t>
  </si>
  <si>
    <t xml:space="preserve"> Period</t>
  </si>
  <si>
    <t>Adjustment</t>
  </si>
  <si>
    <t>State Income Taxes</t>
  </si>
  <si>
    <t>Sch E-1.2</t>
  </si>
  <si>
    <t>Sch E-1.4</t>
  </si>
  <si>
    <t xml:space="preserve">  Current</t>
  </si>
  <si>
    <t xml:space="preserve">  Deferred</t>
  </si>
  <si>
    <t>Total State Income Taxes</t>
  </si>
  <si>
    <t>Federal Income Taxes</t>
  </si>
  <si>
    <t>Sch E-1.1</t>
  </si>
  <si>
    <t>Sch E-1.3</t>
  </si>
  <si>
    <t xml:space="preserve">  Amort. Def Reg Assets/Liab.</t>
  </si>
  <si>
    <t xml:space="preserve">  Deferred - ITC</t>
  </si>
  <si>
    <t>Total Federal Income Taxes</t>
  </si>
  <si>
    <t>Total Income Taxes</t>
  </si>
  <si>
    <t>Base Year Test Year Financial Data:</t>
  </si>
  <si>
    <t>Line #</t>
  </si>
  <si>
    <t>Forecasted Test Year Financial Data:</t>
  </si>
  <si>
    <t xml:space="preserve">Forecast </t>
  </si>
  <si>
    <t>Current FIT</t>
  </si>
  <si>
    <t>Calculated Current Tax</t>
  </si>
  <si>
    <t>Adjustment for tax Provision</t>
  </si>
  <si>
    <t xml:space="preserve">       Federal</t>
  </si>
  <si>
    <t xml:space="preserve">       State</t>
  </si>
  <si>
    <t xml:space="preserve">       Federal (deferred)</t>
  </si>
  <si>
    <t xml:space="preserve">       State (deferred)</t>
  </si>
  <si>
    <t>Prior Period Adjustment</t>
  </si>
  <si>
    <t>Current SIT</t>
  </si>
  <si>
    <t>Deferred State Income Tax</t>
  </si>
  <si>
    <t>Deferred Federal Income Tax</t>
  </si>
  <si>
    <t>Def SIT-Current</t>
  </si>
  <si>
    <t>Def SIT-Pr Yr Adj</t>
  </si>
  <si>
    <t>Def SIT-Other</t>
  </si>
  <si>
    <t>Calculated Deferred State Income Tax</t>
  </si>
  <si>
    <t>Amortization of Deferred ITCs</t>
  </si>
  <si>
    <t xml:space="preserve">Forecasted (Current Rates) </t>
  </si>
  <si>
    <t xml:space="preserve">Forecast (Purposed) </t>
  </si>
  <si>
    <t>State Tax Depreciation</t>
  </si>
  <si>
    <t>Federal Tax Depreciation</t>
  </si>
  <si>
    <t>Taxable AFUDC</t>
  </si>
  <si>
    <t>Actual Deferred Maintenance Expenditures</t>
  </si>
  <si>
    <t xml:space="preserve">    Property Losses</t>
  </si>
  <si>
    <t>AFUDC Gross Up</t>
  </si>
  <si>
    <t>CIAC Amortization</t>
  </si>
  <si>
    <t xml:space="preserve">    Repairs Maintenance</t>
  </si>
  <si>
    <t xml:space="preserve">(Not Included in Revenue Above) </t>
  </si>
  <si>
    <t xml:space="preserve">Deferred Debits </t>
  </si>
  <si>
    <t>Rate Base</t>
  </si>
  <si>
    <t xml:space="preserve">Weighted Cost of Debt </t>
  </si>
  <si>
    <t>Weighted Cost of Preferred Stock</t>
  </si>
  <si>
    <t>Within Interest, Mandatory Dividend</t>
  </si>
  <si>
    <t>Debt Type Capital</t>
  </si>
  <si>
    <t>Cost</t>
  </si>
  <si>
    <t>Annual Interest</t>
  </si>
  <si>
    <t>STD</t>
  </si>
  <si>
    <t>LTD</t>
  </si>
  <si>
    <t>Pref Stock</t>
  </si>
  <si>
    <t xml:space="preserve">Perm </t>
  </si>
  <si>
    <t xml:space="preserve">Temp </t>
  </si>
  <si>
    <t xml:space="preserve">Book Depreciation Life ((Life Rate Only, No CIAC Amortization) </t>
  </si>
  <si>
    <t>UPIS Deferred State Tax</t>
  </si>
  <si>
    <t>UPIS Deferred Federal Tax</t>
  </si>
  <si>
    <t>Amortization of Tax Reg Assets &amp; Liabilities State</t>
  </si>
  <si>
    <t>Amortization of Tax Reg Assets &amp; Liabilities Federal</t>
  </si>
  <si>
    <t>State Income Tax</t>
  </si>
  <si>
    <t>Federal Tax</t>
  </si>
  <si>
    <t>Current Federal Income Tax</t>
  </si>
  <si>
    <t>Investment Tax Credits</t>
  </si>
  <si>
    <t>Current State Tax</t>
  </si>
  <si>
    <t>Deferred State Tax</t>
  </si>
  <si>
    <t>Current Federal Tax</t>
  </si>
  <si>
    <t>Deferred Federal Tax</t>
  </si>
  <si>
    <t>Deferred Tax Components</t>
  </si>
  <si>
    <t>Federal Reg Asset / Liability</t>
  </si>
  <si>
    <t>Federal Other</t>
  </si>
  <si>
    <t>(Remainder Is ITC see above)</t>
  </si>
  <si>
    <t>State Reg Asset / Liability</t>
  </si>
  <si>
    <t>State Other</t>
  </si>
  <si>
    <t>Deferred Maintenance Amortization</t>
  </si>
  <si>
    <t>Sum</t>
  </si>
  <si>
    <t>State Income Tax - Current &amp; Deferred</t>
  </si>
  <si>
    <t>Federal Income Tax - Current &amp; Deferred</t>
  </si>
  <si>
    <t>SCHEDULE E-1.4</t>
  </si>
  <si>
    <t>SCHEDULE E-1.3</t>
  </si>
  <si>
    <t>SCHEDULE E-1.2</t>
  </si>
  <si>
    <t>SCHEDULE E-1.1</t>
  </si>
  <si>
    <t>SCHEDULE E-1.5</t>
  </si>
  <si>
    <t>SCHEDULE E-2</t>
  </si>
  <si>
    <t xml:space="preserve">Tax Depreciation </t>
  </si>
  <si>
    <t xml:space="preserve">Federal </t>
  </si>
  <si>
    <t xml:space="preserve">State </t>
  </si>
  <si>
    <t xml:space="preserve">Repairs </t>
  </si>
  <si>
    <t>Actual Cost of Removal</t>
  </si>
  <si>
    <t>Deferred Tax Related to UPIS, CIAC, and Repairs</t>
  </si>
  <si>
    <t>Federal</t>
  </si>
  <si>
    <t>State</t>
  </si>
  <si>
    <t>Tax Basis per Q3 provision</t>
  </si>
  <si>
    <t>Tax Depreciation per Q3 provision</t>
  </si>
  <si>
    <t>Book Basis per Q3 provision</t>
  </si>
  <si>
    <t>Book Depreciation per Q3 provision</t>
  </si>
  <si>
    <t>Net Activity</t>
  </si>
  <si>
    <t>State Deferred Tax</t>
  </si>
  <si>
    <t>Federal Deferred Tax</t>
  </si>
  <si>
    <t>Equity</t>
  </si>
  <si>
    <t>Plant Flow</t>
  </si>
  <si>
    <t xml:space="preserve">Customer </t>
  </si>
  <si>
    <t>Excess</t>
  </si>
  <si>
    <t>Gross-up</t>
  </si>
  <si>
    <t>Grossup</t>
  </si>
  <si>
    <t>Through</t>
  </si>
  <si>
    <t>Other</t>
  </si>
  <si>
    <t>Advances</t>
  </si>
  <si>
    <t>CIAC</t>
  </si>
  <si>
    <t>ITC</t>
  </si>
  <si>
    <t>Deferred Taxes</t>
  </si>
  <si>
    <t xml:space="preserve">Amortization of Deferred Reg Tax Assets &amp; Liabilities </t>
  </si>
  <si>
    <t xml:space="preserve">Amortization of Deferred ITC </t>
  </si>
  <si>
    <t>Accts 695xxx - Federal</t>
  </si>
  <si>
    <t xml:space="preserve">Change In Balance </t>
  </si>
  <si>
    <t>Change in Balance</t>
  </si>
  <si>
    <t>Account 69063000 - Federal</t>
  </si>
  <si>
    <t>Account 69073000 - State</t>
  </si>
  <si>
    <t xml:space="preserve">Tax Amortizations </t>
  </si>
  <si>
    <t>Forecasted expenses were deducted from operating revenues to arrive at pre-tax income.  From this number statutory add backs in the form of permanent differences, and deductions in the form of temporary differences,were made to arrive at the taxable income.  These statutory adjustments are shown as reconciling items.</t>
  </si>
  <si>
    <t>Def FIT-Current</t>
  </si>
  <si>
    <t>Def FIT-Pr Yr Adj</t>
  </si>
  <si>
    <t>Def FIT-Other</t>
  </si>
  <si>
    <t>13 Month Average from 2018 Cap Structure</t>
  </si>
  <si>
    <t>Base from 2018 Cap Structure</t>
  </si>
  <si>
    <t>September  2018 - Feburary 2019 per rate case</t>
  </si>
  <si>
    <t>March 2018 - August 2018</t>
  </si>
  <si>
    <t>For the 12 Months Ending June 30, 2020</t>
  </si>
  <si>
    <t xml:space="preserve">March 2018 - August 2018 Per Provision </t>
  </si>
  <si>
    <t>Full year estimate for 2018</t>
  </si>
  <si>
    <t>Apportioned for March - August 2018</t>
  </si>
  <si>
    <t>Balance March 2018</t>
  </si>
  <si>
    <t>Balance August 2018</t>
  </si>
  <si>
    <t>18603000/03500/05500</t>
  </si>
  <si>
    <t>271xxxxx &amp; 272xxxxx</t>
  </si>
  <si>
    <t>25510100
25510200
25510300</t>
  </si>
  <si>
    <r>
      <rPr>
        <b/>
        <sz val="11"/>
        <color rgb="FFFF0000"/>
        <rFont val="Calibri"/>
        <family val="2"/>
        <scheme val="minor"/>
      </rPr>
      <t xml:space="preserve">25621000 </t>
    </r>
    <r>
      <rPr>
        <b/>
        <sz val="11"/>
        <rFont val="Calibri"/>
        <family val="2"/>
        <scheme val="minor"/>
      </rPr>
      <t>25621200
25622000
25623200</t>
    </r>
  </si>
  <si>
    <t>25626100
25626200
25626000</t>
  </si>
  <si>
    <t>Jan - Feb 2019</t>
  </si>
  <si>
    <t>March - Dec 2018</t>
  </si>
  <si>
    <t>No Non-deductible per Income Statement</t>
  </si>
  <si>
    <t>Not in Income State LinkOut file</t>
  </si>
  <si>
    <t>Less: Deductions:</t>
  </si>
  <si>
    <t>Operating and Maintenance:</t>
  </si>
  <si>
    <t>Depreciation:</t>
  </si>
  <si>
    <t>Amortization of UPAA</t>
  </si>
  <si>
    <t>Amortization Expense</t>
  </si>
  <si>
    <t>Removal Costs:</t>
  </si>
  <si>
    <t>State Income Taxes:</t>
  </si>
  <si>
    <t>Federal Income Taxes:</t>
  </si>
  <si>
    <t>Investment Tax Credits:</t>
  </si>
  <si>
    <t>General Taxes</t>
  </si>
  <si>
    <t>Total Deductions:</t>
  </si>
  <si>
    <t>Property Tax</t>
  </si>
  <si>
    <t>Payroll Taxes</t>
  </si>
  <si>
    <t xml:space="preserve">Reg Assessment Fees </t>
  </si>
  <si>
    <t>Forecasted Year at Present Rates</t>
  </si>
  <si>
    <t>(Based on 2017 Data) R:\KY\2018 Water Rate Case\Exhibits Support\Rate Base\KY Depr Activity_0115-0818.xlsx</t>
  </si>
  <si>
    <t>Calculated based on 3 year cost of removal R:\KY\2018 Water Rate Case\Exhibits Support\Rate Base\KY Depr Activity_0115-0818.xlsx</t>
  </si>
  <si>
    <t>Check:</t>
  </si>
  <si>
    <t>imm</t>
  </si>
  <si>
    <t>Proposed Rates</t>
  </si>
  <si>
    <t>Fed + State</t>
  </si>
  <si>
    <t>Forecast - Present Rates</t>
  </si>
  <si>
    <t>Base Year</t>
  </si>
  <si>
    <t>R:\KY\2018 Water Rate Case\Exhibits\Rate Base\KAWC 2018 Rate Case - Capital-Depr Exp.xlsx</t>
  </si>
  <si>
    <t>R:\KY\2018 Water Rate Case\Taxes\Supporting Workpaper\Taxable CIAC March - August 2018.xlsx</t>
  </si>
  <si>
    <t>March 2018 - August 2018 Per SAP (25227000/27123000/27126000/27127000)</t>
  </si>
  <si>
    <t>Jan - June'2020</t>
  </si>
  <si>
    <t>July - Dec 2019</t>
  </si>
  <si>
    <t>Forecast Year for 12 Months ended 6/30/2020</t>
  </si>
  <si>
    <t xml:space="preserve">Book  Depreciation </t>
  </si>
  <si>
    <t>Forecast Year</t>
  </si>
  <si>
    <t>March 2018 - August 2018 Per Ledger</t>
  </si>
  <si>
    <t>Acquisitions</t>
  </si>
  <si>
    <t xml:space="preserve">Actual Taxable CIAC/Advances Received </t>
  </si>
  <si>
    <t>Tax Amortizations</t>
  </si>
  <si>
    <t>September  2018 - Feburary 2019 per rate case - CIAC</t>
  </si>
  <si>
    <t>September  2018 - Feburary 2019 per rate case - Advances</t>
  </si>
  <si>
    <t>Taxable CIAC/Advances Contributed</t>
  </si>
  <si>
    <t>13-Month Rate Base</t>
  </si>
  <si>
    <t>Jurisdictional Factors for Income Tax Expense</t>
  </si>
  <si>
    <t>Meals Non-Deductible</t>
  </si>
  <si>
    <t>Meals Deductible</t>
  </si>
  <si>
    <t>Federal and State Tax Adjustment</t>
  </si>
  <si>
    <t>Operating Revenue at Present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</si>
</sst>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_ ;[Red]\-#,##0.00;\-"/>
    <numFmt numFmtId="166" formatCode="_-* #,##0_-;\-* #,##0_-;_-* &quot;-&quot;_-;_-@_-"/>
    <numFmt numFmtId="167" formatCode="#,##0.0_)_x;\(#,##0.0\)_x"/>
    <numFmt numFmtId="168" formatCode="\£\ #,##0_);[Red]\(\£\ #,##0\)"/>
    <numFmt numFmtId="169" formatCode="0.000_)"/>
    <numFmt numFmtId="170" formatCode="\ \ _•\–\ \ \ \ @"/>
    <numFmt numFmtId="171" formatCode="_-[$€-2]* #,##0.00_-;\-[$€-2]* #,##0.00_-;_-[$€-2]* &quot;-&quot;??_-"/>
    <numFmt numFmtId="172" formatCode="_-* #,##0\ _P_t_s_-;\-* #,##0\ _P_t_s_-;_-* &quot;-&quot;\ _P_t_s_-;_-@_-"/>
    <numFmt numFmtId="173" formatCode="_-* #,##0.00\ _P_t_s_-;\-* #,##0.00\ _P_t_s_-;_-* &quot;-&quot;??\ _P_t_s_-;_-@_-"/>
    <numFmt numFmtId="174" formatCode="_-&quot;S/.&quot;* #,##0_-;\-&quot;S/.&quot;* #,##0_-;_-&quot;S/.&quot;* &quot;-&quot;_-;_-@_-"/>
    <numFmt numFmtId="175" formatCode="_-&quot;S/.&quot;* #,##0.00_-;\-&quot;S/.&quot;* #,##0.00_-;_-&quot;S/.&quot;* &quot;-&quot;??_-;_-@_-"/>
    <numFmt numFmtId="176" formatCode="0.00_)"/>
    <numFmt numFmtId="177" formatCode="#,##0.0_);\(#,##0.0\)"/>
    <numFmt numFmtId="178" formatCode="_(&quot;$&quot;* #,##0_);_(&quot;$&quot;* \(#,##0\);_(&quot;$&quot;* &quot;-&quot;??_);_(@_)"/>
    <numFmt numFmtId="179" formatCode="[$-409]mmmm\ d\,\ yyyy;@"/>
    <numFmt numFmtId="180" formatCode="0.0%"/>
    <numFmt numFmtId="181" formatCode="[$-409]mmm\-yy;@"/>
    <numFmt numFmtId="182" formatCode="###,000"/>
    <numFmt numFmtId="183" formatCode="0_);\(0\)"/>
  </numFmts>
  <fonts count="79">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u val="singleAccounting"/>
      <sz val="10"/>
      <color indexed="18"/>
      <name val="Arial"/>
      <family val="2"/>
    </font>
    <font>
      <sz val="12"/>
      <name val="Times New Roman"/>
      <family val="1"/>
    </font>
    <font>
      <sz val="11"/>
      <color indexed="8"/>
      <name val="Calibri"/>
      <family val="2"/>
    </font>
    <font>
      <sz val="11"/>
      <color indexed="9"/>
      <name val="Calibri"/>
      <family val="2"/>
    </font>
    <font>
      <sz val="11"/>
      <color indexed="20"/>
      <name val="Calibri"/>
      <family val="2"/>
    </font>
    <font>
      <sz val="8"/>
      <color indexed="12"/>
      <name val="Tms Rmn"/>
    </font>
    <font>
      <b/>
      <sz val="12"/>
      <name val="Times New Roman"/>
      <family val="1"/>
    </font>
    <font>
      <b/>
      <sz val="10"/>
      <color indexed="8"/>
      <name val="Times New Roman"/>
      <family val="1"/>
    </font>
    <font>
      <b/>
      <sz val="11"/>
      <color indexed="52"/>
      <name val="Calibri"/>
      <family val="2"/>
    </font>
    <font>
      <b/>
      <sz val="11"/>
      <color indexed="9"/>
      <name val="Calibri"/>
      <family val="2"/>
    </font>
    <font>
      <sz val="11"/>
      <name val="Tms Rmn"/>
      <family val="1"/>
    </font>
    <font>
      <sz val="10"/>
      <color theme="1"/>
      <name val="Arial"/>
      <family val="2"/>
    </font>
    <font>
      <sz val="10"/>
      <name val="MS Sans Serif"/>
      <family val="2"/>
    </font>
    <font>
      <sz val="11"/>
      <color indexed="12"/>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12"/>
      <name val="Times New Roman"/>
      <family val="1"/>
    </font>
    <font>
      <sz val="11"/>
      <color indexed="52"/>
      <name val="Calibri"/>
      <family val="2"/>
    </font>
    <font>
      <sz val="10"/>
      <name val="Times New Roman"/>
      <family val="1"/>
    </font>
    <font>
      <sz val="11"/>
      <color indexed="60"/>
      <name val="Calibri"/>
      <family val="2"/>
    </font>
    <font>
      <b/>
      <i/>
      <sz val="16"/>
      <name val="Helv"/>
    </font>
    <font>
      <sz val="10"/>
      <name val="Arial"/>
      <family val="2"/>
    </font>
    <font>
      <sz val="10"/>
      <color indexed="8"/>
      <name val="Arial"/>
      <family val="2"/>
    </font>
    <font>
      <sz val="14"/>
      <name val="–¾’©"/>
    </font>
    <font>
      <b/>
      <sz val="11"/>
      <color indexed="63"/>
      <name val="Calibri"/>
      <family val="2"/>
    </font>
    <font>
      <sz val="10"/>
      <name val="Palatino"/>
      <family val="1"/>
    </font>
    <font>
      <sz val="8"/>
      <name val="Times New Roman"/>
      <family val="1"/>
    </font>
    <font>
      <sz val="10"/>
      <color indexed="8"/>
      <name val="Times New Roman"/>
      <family val="1"/>
    </font>
    <font>
      <b/>
      <sz val="12"/>
      <color indexed="8"/>
      <name val="Times New Roman"/>
      <family val="1"/>
    </font>
    <font>
      <b/>
      <sz val="18"/>
      <color indexed="56"/>
      <name val="Cambria"/>
      <family val="2"/>
    </font>
    <font>
      <b/>
      <sz val="11"/>
      <color indexed="8"/>
      <name val="Calibri"/>
      <family val="2"/>
    </font>
    <font>
      <sz val="11"/>
      <color indexed="10"/>
      <name val="Calibri"/>
      <family val="2"/>
    </font>
    <font>
      <sz val="12"/>
      <color indexed="8"/>
      <name val="Arial"/>
      <family val="2"/>
    </font>
    <font>
      <b/>
      <sz val="11"/>
      <color theme="1"/>
      <name val="Calibri"/>
      <family val="2"/>
      <scheme val="minor"/>
    </font>
    <font>
      <sz val="12"/>
      <name val="Arial"/>
      <family val="2"/>
    </font>
    <font>
      <b/>
      <sz val="12"/>
      <color theme="1"/>
      <name val="Calibri"/>
      <family val="2"/>
      <scheme val="minor"/>
    </font>
    <font>
      <sz val="12"/>
      <color theme="1"/>
      <name val="Calibri"/>
      <family val="2"/>
      <scheme val="minor"/>
    </font>
    <font>
      <sz val="11"/>
      <color theme="3"/>
      <name val="Calibri"/>
      <family val="2"/>
      <scheme val="minor"/>
    </font>
    <font>
      <sz val="11"/>
      <color theme="4"/>
      <name val="Calibri"/>
      <family val="2"/>
      <scheme val="minor"/>
    </font>
    <font>
      <b/>
      <sz val="11"/>
      <name val="Arial"/>
      <family val="2"/>
    </font>
    <font>
      <sz val="11"/>
      <name val="Calibri"/>
      <family val="2"/>
    </font>
    <font>
      <b/>
      <sz val="11"/>
      <name val="Calibri"/>
      <family val="2"/>
      <scheme val="minor"/>
    </font>
    <font>
      <b/>
      <sz val="11"/>
      <color indexed="8"/>
      <name val="Calibri"/>
      <family val="2"/>
      <scheme val="minor"/>
    </font>
    <font>
      <sz val="11"/>
      <color indexed="8"/>
      <name val="Calibri"/>
      <family val="2"/>
      <scheme val="minor"/>
    </font>
    <font>
      <sz val="10"/>
      <color rgb="FF000000"/>
      <name val="Arial"/>
      <family val="2"/>
    </font>
    <font>
      <b/>
      <sz val="8"/>
      <color theme="1"/>
      <name val="Verdana"/>
      <family val="2"/>
    </font>
    <font>
      <sz val="8"/>
      <color theme="1"/>
      <name val="Verdana"/>
      <family val="2"/>
    </font>
    <font>
      <i/>
      <sz val="8"/>
      <color rgb="FF000000"/>
      <name val="Verdana"/>
      <family val="2"/>
    </font>
    <font>
      <sz val="8"/>
      <color rgb="FF000000"/>
      <name val="Verdana"/>
      <family val="2"/>
    </font>
    <font>
      <sz val="10"/>
      <color rgb="FF000000"/>
      <name val="Calibri"/>
      <family val="2"/>
      <scheme val="minor"/>
    </font>
    <font>
      <u/>
      <sz val="11"/>
      <color indexed="8"/>
      <name val="Calibri"/>
      <family val="2"/>
      <scheme val="minor"/>
    </font>
    <font>
      <b/>
      <sz val="11"/>
      <name val="Calibri"/>
      <family val="2"/>
    </font>
    <font>
      <sz val="11"/>
      <name val="Calibri"/>
      <family val="2"/>
      <scheme val="minor"/>
    </font>
    <font>
      <u val="singleAccounting"/>
      <sz val="11"/>
      <color theme="1"/>
      <name val="Calibri"/>
      <family val="2"/>
      <scheme val="minor"/>
    </font>
    <font>
      <b/>
      <u/>
      <sz val="11"/>
      <color theme="1"/>
      <name val="Calibri"/>
      <family val="2"/>
      <scheme val="minor"/>
    </font>
    <font>
      <sz val="10"/>
      <name val="Calibri"/>
      <family val="2"/>
      <scheme val="minor"/>
    </font>
    <font>
      <b/>
      <sz val="10"/>
      <name val="Calibri"/>
      <family val="2"/>
      <scheme val="minor"/>
    </font>
    <font>
      <b/>
      <sz val="11"/>
      <color rgb="FFFF0000"/>
      <name val="Calibri"/>
      <family val="2"/>
      <scheme val="minor"/>
    </font>
    <font>
      <b/>
      <sz val="10"/>
      <color rgb="FF000000"/>
      <name val="Calibri"/>
      <family val="2"/>
      <scheme val="minor"/>
    </font>
    <font>
      <sz val="11"/>
      <color rgb="FFFF0000"/>
      <name val="Calibri"/>
      <family val="2"/>
      <scheme val="minor"/>
    </font>
    <font>
      <sz val="11"/>
      <color theme="0"/>
      <name val="Calibri"/>
      <family val="2"/>
      <scheme val="minor"/>
    </font>
    <font>
      <sz val="10"/>
      <color theme="0"/>
      <name val="Calibri"/>
      <family val="2"/>
      <scheme val="minor"/>
    </font>
    <font>
      <sz val="9"/>
      <color indexed="81"/>
      <name val="Tahoma"/>
      <family val="2"/>
    </font>
    <font>
      <b/>
      <sz val="9"/>
      <color indexed="81"/>
      <name val="Tahoma"/>
      <family val="2"/>
    </font>
  </fonts>
  <fills count="3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rgb="FFFFFFCC"/>
      </patternFill>
    </fill>
    <fill>
      <patternFill patternType="solid">
        <fgColor rgb="FFFFFFFF"/>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DBE5F2"/>
        <bgColor rgb="FF000000"/>
      </patternFill>
    </fill>
    <fill>
      <patternFill patternType="solid">
        <fgColor rgb="FFFFFF00"/>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bottom style="hair">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bottom style="thin">
        <color indexed="8"/>
      </bottom>
      <diagonal/>
    </border>
    <border>
      <left/>
      <right/>
      <top style="thin">
        <color indexed="62"/>
      </top>
      <bottom style="double">
        <color indexed="62"/>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935">
    <xf numFmtId="0" fontId="0" fillId="0" borderId="0"/>
    <xf numFmtId="44" fontId="3" fillId="0" borderId="0" applyFont="0" applyFill="0" applyBorder="0" applyAlignment="0" applyProtection="0"/>
    <xf numFmtId="43" fontId="3" fillId="0" borderId="0" applyFont="0" applyFill="0" applyBorder="0" applyAlignment="0" applyProtection="0"/>
    <xf numFmtId="0" fontId="4" fillId="2" borderId="0"/>
    <xf numFmtId="0" fontId="5" fillId="2" borderId="0"/>
    <xf numFmtId="0" fontId="6" fillId="2" borderId="0"/>
    <xf numFmtId="0" fontId="7" fillId="2" borderId="0"/>
    <xf numFmtId="0" fontId="8" fillId="2" borderId="0"/>
    <xf numFmtId="0" fontId="9" fillId="2" borderId="0"/>
    <xf numFmtId="0" fontId="10" fillId="2" borderId="0"/>
    <xf numFmtId="165" fontId="4" fillId="3" borderId="2"/>
    <xf numFmtId="166" fontId="4" fillId="3" borderId="2"/>
    <xf numFmtId="165" fontId="4" fillId="3" borderId="2"/>
    <xf numFmtId="165" fontId="4" fillId="3" borderId="2"/>
    <xf numFmtId="165" fontId="4" fillId="3" borderId="2"/>
    <xf numFmtId="165" fontId="4" fillId="3" borderId="2"/>
    <xf numFmtId="0" fontId="6" fillId="3" borderId="0"/>
    <xf numFmtId="167" fontId="4" fillId="0" borderId="0" applyFont="0" applyFill="0" applyBorder="0" applyAlignment="0" applyProtection="0"/>
    <xf numFmtId="0" fontId="4" fillId="2" borderId="0"/>
    <xf numFmtId="0" fontId="5" fillId="2" borderId="0"/>
    <xf numFmtId="0" fontId="6" fillId="2" borderId="0"/>
    <xf numFmtId="0" fontId="4" fillId="2" borderId="0"/>
    <xf numFmtId="0" fontId="8" fillId="2" borderId="0"/>
    <xf numFmtId="0" fontId="9" fillId="2" borderId="0"/>
    <xf numFmtId="0" fontId="10" fillId="2" borderId="0"/>
    <xf numFmtId="0" fontId="11" fillId="0" borderId="0" applyNumberFormat="0" applyFill="0" applyBorder="0" applyProtection="0">
      <alignment horizontal="centerContinuous"/>
    </xf>
    <xf numFmtId="0" fontId="4" fillId="0" borderId="0"/>
    <xf numFmtId="168" fontId="12" fillId="0" borderId="0" applyFont="0" applyFill="0" applyBorder="0" applyAlignment="0" applyProtection="0"/>
    <xf numFmtId="0" fontId="12"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19" fillId="22" borderId="3"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0" fontId="23" fillId="0" borderId="0" applyFont="0" applyFill="0" applyBorder="0" applyAlignment="0" applyProtection="0"/>
    <xf numFmtId="40" fontId="23" fillId="0" borderId="0" applyFont="0" applyFill="0" applyBorder="0" applyAlignment="0" applyProtection="0"/>
    <xf numFmtId="43" fontId="4" fillId="0" borderId="0" applyFont="0" applyFill="0" applyBorder="0" applyAlignment="0" applyProtection="0"/>
    <xf numFmtId="8" fontId="24" fillId="0" borderId="5">
      <protection locked="0"/>
    </xf>
    <xf numFmtId="170" fontId="12" fillId="0" borderId="0" applyFont="0" applyFill="0" applyBorder="0" applyAlignment="0" applyProtection="0"/>
    <xf numFmtId="171"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0" fillId="9" borderId="3" applyNumberFormat="0" applyAlignment="0" applyProtection="0"/>
    <xf numFmtId="0" fontId="31" fillId="0" borderId="0" applyNumberFormat="0" applyFill="0" applyBorder="0" applyAlignment="0">
      <protection locked="0"/>
    </xf>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172" fontId="4" fillId="0" borderId="0" applyFont="0" applyFill="0" applyBorder="0" applyAlignment="0" applyProtection="0"/>
    <xf numFmtId="173" fontId="4" fillId="0" borderId="0" applyFont="0" applyFill="0" applyBorder="0" applyAlignment="0" applyProtection="0"/>
    <xf numFmtId="174" fontId="33" fillId="0" borderId="0" applyFont="0" applyFill="0" applyBorder="0" applyAlignment="0" applyProtection="0"/>
    <xf numFmtId="175" fontId="33" fillId="0" borderId="0" applyFont="0" applyFill="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176" fontId="35"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4" fillId="0" borderId="0"/>
    <xf numFmtId="0" fontId="4" fillId="0" borderId="0"/>
    <xf numFmtId="0" fontId="4"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22" fillId="0" borderId="0"/>
    <xf numFmtId="0" fontId="22" fillId="0" borderId="0"/>
    <xf numFmtId="0" fontId="22" fillId="0" borderId="0"/>
    <xf numFmtId="0" fontId="22" fillId="0" borderId="0"/>
    <xf numFmtId="0" fontId="22" fillId="0" borderId="0"/>
    <xf numFmtId="0" fontId="37" fillId="0" borderId="0"/>
    <xf numFmtId="0" fontId="36" fillId="0" borderId="0"/>
    <xf numFmtId="0" fontId="4" fillId="0" borderId="0"/>
    <xf numFmtId="0" fontId="4" fillId="0" borderId="0"/>
    <xf numFmtId="0" fontId="4" fillId="0" borderId="0"/>
    <xf numFmtId="0" fontId="36" fillId="0" borderId="0"/>
    <xf numFmtId="0" fontId="4" fillId="0" borderId="0"/>
    <xf numFmtId="0" fontId="4" fillId="0" borderId="0"/>
    <xf numFmtId="0" fontId="4" fillId="0" borderId="0"/>
    <xf numFmtId="0" fontId="36" fillId="0" borderId="0"/>
    <xf numFmtId="0" fontId="4" fillId="0" borderId="0"/>
    <xf numFmtId="0" fontId="36" fillId="0" borderId="0"/>
    <xf numFmtId="0" fontId="4" fillId="0" borderId="0"/>
    <xf numFmtId="0" fontId="4" fillId="0" borderId="0"/>
    <xf numFmtId="0" fontId="4"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13"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13"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13"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13" fillId="25" borderId="10" applyNumberFormat="0" applyFont="0" applyAlignment="0" applyProtection="0"/>
    <xf numFmtId="0" fontId="37" fillId="25" borderId="10" applyNumberFormat="0" applyFont="0" applyAlignment="0" applyProtection="0"/>
    <xf numFmtId="0" fontId="37" fillId="25" borderId="10" applyNumberFormat="0" applyFont="0" applyAlignment="0" applyProtection="0"/>
    <xf numFmtId="0" fontId="4" fillId="25" borderId="10" applyNumberFormat="0" applyFont="0" applyAlignment="0" applyProtection="0"/>
    <xf numFmtId="0" fontId="4" fillId="25" borderId="10" applyNumberFormat="0" applyFont="0" applyAlignment="0" applyProtection="0"/>
    <xf numFmtId="0" fontId="10" fillId="0" borderId="0" applyNumberFormat="0" applyFill="0" applyBorder="0" applyAlignment="0" applyProtection="0"/>
    <xf numFmtId="40" fontId="38" fillId="0" borderId="0" applyFont="0" applyFill="0" applyBorder="0" applyAlignment="0" applyProtection="0"/>
    <xf numFmtId="38" fontId="38" fillId="0" borderId="0" applyFont="0" applyFill="0" applyBorder="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0" fontId="39" fillId="22" borderId="11" applyNumberFormat="0" applyAlignment="0" applyProtection="0"/>
    <xf numFmtId="9" fontId="22" fillId="0" borderId="0" applyFont="0" applyFill="0" applyBorder="0" applyAlignment="0" applyProtection="0"/>
    <xf numFmtId="7" fontId="40" fillId="0" borderId="0" applyFont="0" applyFill="0" applyBorder="0" applyAlignment="0" applyProtection="0"/>
    <xf numFmtId="0" fontId="41" fillId="0" borderId="12" applyNumberFormat="0" applyAlignment="0"/>
    <xf numFmtId="177" fontId="42" fillId="0" borderId="0"/>
    <xf numFmtId="0" fontId="42" fillId="0" borderId="13">
      <alignment horizontal="centerContinuous"/>
    </xf>
    <xf numFmtId="0" fontId="42" fillId="0" borderId="13">
      <protection locked="0"/>
    </xf>
    <xf numFmtId="0" fontId="42" fillId="0" borderId="13">
      <alignment horizontal="centerContinuous"/>
    </xf>
    <xf numFmtId="177" fontId="42" fillId="0" borderId="0"/>
    <xf numFmtId="0" fontId="42" fillId="0" borderId="13">
      <protection locked="0"/>
    </xf>
    <xf numFmtId="177" fontId="42" fillId="0" borderId="0"/>
    <xf numFmtId="0" fontId="42" fillId="0" borderId="13">
      <alignment horizontal="centerContinuous"/>
    </xf>
    <xf numFmtId="177" fontId="42" fillId="0" borderId="0"/>
    <xf numFmtId="0" fontId="42" fillId="0" borderId="13">
      <protection locked="0"/>
    </xf>
    <xf numFmtId="0" fontId="42" fillId="0" borderId="13">
      <alignment horizontal="centerContinuous"/>
    </xf>
    <xf numFmtId="0" fontId="42" fillId="0" borderId="13">
      <alignment horizontal="centerContinuous"/>
    </xf>
    <xf numFmtId="177" fontId="42" fillId="0" borderId="0"/>
    <xf numFmtId="0" fontId="42" fillId="0" borderId="13">
      <alignment horizontal="centerContinuous"/>
    </xf>
    <xf numFmtId="0" fontId="42" fillId="0" borderId="13">
      <protection locked="0"/>
    </xf>
    <xf numFmtId="177" fontId="42" fillId="0" borderId="0"/>
    <xf numFmtId="177" fontId="42" fillId="0" borderId="0"/>
    <xf numFmtId="0" fontId="42" fillId="0" borderId="13">
      <alignment horizontal="centerContinuous"/>
    </xf>
    <xf numFmtId="0" fontId="42" fillId="0" borderId="13">
      <protection locked="0"/>
    </xf>
    <xf numFmtId="177" fontId="42" fillId="0" borderId="0"/>
    <xf numFmtId="0" fontId="42" fillId="0" borderId="13">
      <alignment horizontal="centerContinuous"/>
    </xf>
    <xf numFmtId="0" fontId="42" fillId="0" borderId="13">
      <protection locked="0"/>
    </xf>
    <xf numFmtId="0" fontId="42" fillId="0" borderId="13">
      <alignment horizontal="centerContinuous"/>
    </xf>
    <xf numFmtId="0" fontId="42" fillId="0" borderId="13">
      <protection locked="0"/>
    </xf>
    <xf numFmtId="0" fontId="42" fillId="0" borderId="13">
      <protection locked="0"/>
    </xf>
    <xf numFmtId="177" fontId="42" fillId="0" borderId="0"/>
    <xf numFmtId="0" fontId="42" fillId="0" borderId="13">
      <protection locked="0"/>
    </xf>
    <xf numFmtId="0" fontId="42" fillId="0" borderId="13">
      <alignment horizontal="centerContinuous"/>
    </xf>
    <xf numFmtId="0" fontId="42" fillId="0" borderId="13">
      <alignment horizontal="centerContinuous"/>
    </xf>
    <xf numFmtId="0" fontId="42" fillId="0" borderId="13">
      <protection locked="0"/>
    </xf>
    <xf numFmtId="177" fontId="42" fillId="0" borderId="0"/>
    <xf numFmtId="0" fontId="42" fillId="0" borderId="13">
      <alignment horizontal="centerContinuous"/>
    </xf>
    <xf numFmtId="0" fontId="42" fillId="0" borderId="13">
      <alignment horizontal="centerContinuous"/>
    </xf>
    <xf numFmtId="177" fontId="42" fillId="0" borderId="0"/>
    <xf numFmtId="0" fontId="42" fillId="0" borderId="13">
      <alignment horizontal="centerContinuous"/>
    </xf>
    <xf numFmtId="177" fontId="42" fillId="0" borderId="0"/>
    <xf numFmtId="0" fontId="42" fillId="0" borderId="13">
      <alignment horizontal="centerContinuous"/>
    </xf>
    <xf numFmtId="177" fontId="42" fillId="0" borderId="0"/>
    <xf numFmtId="0" fontId="42" fillId="0" borderId="13">
      <protection locked="0"/>
    </xf>
    <xf numFmtId="0" fontId="42" fillId="0" borderId="13">
      <alignment horizontal="centerContinuous"/>
    </xf>
    <xf numFmtId="177" fontId="42" fillId="0" borderId="0"/>
    <xf numFmtId="0" fontId="33" fillId="0" borderId="0"/>
    <xf numFmtId="0" fontId="37" fillId="0" borderId="0" applyNumberFormat="0" applyBorder="0" applyAlignment="0"/>
    <xf numFmtId="0" fontId="42" fillId="0" borderId="0" applyNumberFormat="0" applyBorder="0" applyAlignment="0"/>
    <xf numFmtId="0" fontId="43" fillId="0" borderId="0" applyNumberFormat="0" applyBorder="0" applyAlignment="0"/>
    <xf numFmtId="0" fontId="18" fillId="0" borderId="0" applyNumberFormat="0" applyBorder="0" applyAlignment="0"/>
    <xf numFmtId="0" fontId="42" fillId="0" borderId="0" applyNumberFormat="0" applyBorder="0" applyAlignment="0"/>
    <xf numFmtId="0" fontId="17" fillId="0" borderId="1">
      <alignment horizontal="center"/>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6" fillId="0" borderId="0"/>
    <xf numFmtId="3" fontId="47" fillId="0" borderId="0"/>
    <xf numFmtId="0" fontId="4" fillId="0" borderId="0"/>
    <xf numFmtId="9" fontId="3" fillId="0" borderId="0" applyFont="0" applyFill="0" applyBorder="0" applyAlignment="0" applyProtection="0"/>
    <xf numFmtId="0" fontId="4" fillId="0" borderId="0"/>
    <xf numFmtId="0" fontId="4" fillId="0" borderId="0"/>
    <xf numFmtId="182" fontId="61" fillId="28" borderId="20" applyNumberFormat="0" applyAlignment="0" applyProtection="0">
      <alignment horizontal="left" vertical="center" indent="1"/>
    </xf>
    <xf numFmtId="182" fontId="61" fillId="0" borderId="21" applyNumberFormat="0" applyProtection="0">
      <alignment horizontal="right" vertical="center"/>
    </xf>
    <xf numFmtId="0" fontId="59" fillId="0" borderId="0"/>
    <xf numFmtId="0" fontId="60" fillId="29" borderId="20" applyNumberFormat="0" applyAlignment="0" applyProtection="0">
      <alignment horizontal="left" vertical="center" indent="1"/>
    </xf>
    <xf numFmtId="43" fontId="59" fillId="0" borderId="0" applyFont="0" applyFill="0" applyBorder="0" applyAlignment="0" applyProtection="0"/>
    <xf numFmtId="0" fontId="62" fillId="0" borderId="22" applyNumberFormat="0" applyFill="0" applyBorder="0" applyAlignment="0" applyProtection="0"/>
    <xf numFmtId="0" fontId="60" fillId="29" borderId="23" applyNumberFormat="0" applyAlignment="0" applyProtection="0">
      <alignment horizontal="left" vertical="center" indent="1"/>
    </xf>
    <xf numFmtId="182" fontId="60" fillId="0" borderId="21" applyNumberFormat="0" applyProtection="0">
      <alignment horizontal="right" vertical="center"/>
    </xf>
    <xf numFmtId="0" fontId="63" fillId="30" borderId="23" applyNumberFormat="0" applyAlignment="0" applyProtection="0">
      <alignment horizontal="left" vertical="center" indent="1"/>
    </xf>
    <xf numFmtId="0" fontId="63" fillId="31" borderId="20" applyNumberFormat="0" applyAlignment="0" applyProtection="0">
      <alignment horizontal="left" vertical="center" indent="1"/>
    </xf>
    <xf numFmtId="0" fontId="63" fillId="32" borderId="20" applyNumberFormat="0" applyAlignment="0" applyProtection="0">
      <alignment horizontal="left" vertical="center" indent="1"/>
    </xf>
    <xf numFmtId="3" fontId="49" fillId="0" borderId="0"/>
    <xf numFmtId="0" fontId="3" fillId="0" borderId="0"/>
    <xf numFmtId="44" fontId="49"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59" fillId="0" borderId="0"/>
    <xf numFmtId="43" fontId="4" fillId="0" borderId="0" applyFont="0" applyFill="0" applyBorder="0" applyAlignment="0" applyProtection="0"/>
    <xf numFmtId="0" fontId="3" fillId="27" borderId="18" applyNumberFormat="0" applyFont="0" applyAlignment="0" applyProtection="0"/>
    <xf numFmtId="44"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43"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3"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0" fontId="59" fillId="0" borderId="0"/>
    <xf numFmtId="43" fontId="59" fillId="0" borderId="0" applyFont="0" applyFill="0" applyBorder="0" applyAlignment="0" applyProtection="0"/>
    <xf numFmtId="44" fontId="59" fillId="0" borderId="0" applyFont="0" applyFill="0" applyBorder="0" applyAlignment="0" applyProtection="0"/>
  </cellStyleXfs>
  <cellXfs count="410">
    <xf numFmtId="0" fontId="0" fillId="0" borderId="0" xfId="0"/>
    <xf numFmtId="0" fontId="2" fillId="0" borderId="0" xfId="0" applyFont="1" applyAlignment="1"/>
    <xf numFmtId="0" fontId="1" fillId="0" borderId="0" xfId="0" applyFont="1"/>
    <xf numFmtId="0" fontId="2" fillId="0" borderId="0" xfId="0" applyFont="1"/>
    <xf numFmtId="0" fontId="2" fillId="0" borderId="0" xfId="0" applyFont="1" applyAlignment="1">
      <alignment horizontal="right"/>
    </xf>
    <xf numFmtId="0" fontId="2" fillId="0" borderId="0" xfId="0" applyFont="1" applyFill="1" applyAlignment="1">
      <alignment horizontal="right"/>
    </xf>
    <xf numFmtId="41" fontId="1" fillId="0" borderId="0" xfId="0" applyNumberFormat="1" applyFont="1"/>
    <xf numFmtId="41" fontId="2" fillId="0" borderId="0" xfId="0" applyNumberFormat="1" applyFont="1"/>
    <xf numFmtId="10" fontId="1" fillId="0" borderId="0" xfId="0" applyNumberFormat="1" applyFont="1"/>
    <xf numFmtId="0" fontId="0" fillId="0" borderId="0" xfId="0"/>
    <xf numFmtId="42" fontId="0" fillId="0" borderId="0" xfId="0" applyNumberFormat="1"/>
    <xf numFmtId="0" fontId="0" fillId="0" borderId="1" xfId="0" applyBorder="1"/>
    <xf numFmtId="178" fontId="0" fillId="0" borderId="0" xfId="1" applyNumberFormat="1" applyFont="1"/>
    <xf numFmtId="0" fontId="0" fillId="0" borderId="0" xfId="0" applyAlignment="1">
      <alignment horizontal="left" indent="2"/>
    </xf>
    <xf numFmtId="0" fontId="48" fillId="0" borderId="0" xfId="0" applyFont="1"/>
    <xf numFmtId="0" fontId="0" fillId="0" borderId="0" xfId="0" applyBorder="1"/>
    <xf numFmtId="0" fontId="48" fillId="0" borderId="0" xfId="0" applyFont="1" applyFill="1" applyBorder="1" applyAlignment="1">
      <alignment horizontal="right"/>
    </xf>
    <xf numFmtId="0" fontId="0" fillId="0" borderId="1" xfId="0" applyBorder="1" applyAlignment="1">
      <alignment horizontal="left" indent="2"/>
    </xf>
    <xf numFmtId="0" fontId="48" fillId="0" borderId="0" xfId="0" applyFont="1" applyAlignment="1">
      <alignment horizontal="right"/>
    </xf>
    <xf numFmtId="0" fontId="48" fillId="0" borderId="1" xfId="0" applyFont="1" applyBorder="1" applyAlignment="1">
      <alignment horizontal="center"/>
    </xf>
    <xf numFmtId="0" fontId="48" fillId="0" borderId="0" xfId="0" applyFont="1" applyAlignment="1">
      <alignment horizontal="center"/>
    </xf>
    <xf numFmtId="0" fontId="48" fillId="0" borderId="0" xfId="0" applyFont="1" applyBorder="1" applyAlignment="1">
      <alignment horizontal="center"/>
    </xf>
    <xf numFmtId="178" fontId="0" fillId="0" borderId="0" xfId="0" applyNumberFormat="1"/>
    <xf numFmtId="0" fontId="0" fillId="0" borderId="0" xfId="0" applyFill="1"/>
    <xf numFmtId="0" fontId="0" fillId="0" borderId="0" xfId="0" applyAlignment="1">
      <alignment horizontal="center"/>
    </xf>
    <xf numFmtId="0" fontId="0" fillId="0" borderId="0" xfId="0" applyFill="1" applyBorder="1" applyAlignment="1">
      <alignment horizontal="left" indent="1"/>
    </xf>
    <xf numFmtId="0" fontId="0" fillId="0" borderId="1" xfId="0" applyFill="1" applyBorder="1" applyAlignment="1">
      <alignment horizontal="left" indent="1"/>
    </xf>
    <xf numFmtId="164" fontId="0" fillId="0" borderId="0" xfId="0" applyNumberFormat="1"/>
    <xf numFmtId="37" fontId="0" fillId="0" borderId="1" xfId="0" applyNumberFormat="1" applyBorder="1"/>
    <xf numFmtId="0" fontId="48" fillId="0" borderId="0" xfId="0" applyFont="1" applyFill="1" applyBorder="1" applyAlignment="1">
      <alignment horizontal="right" wrapText="1" indent="1"/>
    </xf>
    <xf numFmtId="0" fontId="48" fillId="0" borderId="0" xfId="0" applyFont="1" applyBorder="1" applyAlignment="1">
      <alignment horizontal="left" wrapText="1"/>
    </xf>
    <xf numFmtId="0" fontId="0" fillId="0" borderId="0" xfId="0" applyFill="1" applyAlignment="1">
      <alignment horizontal="left" indent="1"/>
    </xf>
    <xf numFmtId="0" fontId="48" fillId="0" borderId="0" xfId="0" applyFont="1" applyBorder="1" applyAlignment="1">
      <alignment horizontal="right"/>
    </xf>
    <xf numFmtId="0" fontId="48" fillId="0" borderId="0" xfId="0" applyFont="1" applyFill="1" applyBorder="1" applyAlignment="1">
      <alignment wrapText="1"/>
    </xf>
    <xf numFmtId="0" fontId="0" fillId="0" borderId="0" xfId="0" applyFill="1" applyBorder="1" applyAlignment="1">
      <alignment horizontal="center"/>
    </xf>
    <xf numFmtId="37" fontId="0" fillId="0" borderId="0" xfId="0" applyNumberFormat="1" applyBorder="1"/>
    <xf numFmtId="5" fontId="54" fillId="0" borderId="0" xfId="0" applyNumberFormat="1" applyFont="1" applyAlignment="1"/>
    <xf numFmtId="0" fontId="50" fillId="0" borderId="0" xfId="0" applyFont="1" applyAlignment="1">
      <alignment horizontal="right"/>
    </xf>
    <xf numFmtId="178" fontId="48" fillId="0" borderId="0" xfId="0" applyNumberFormat="1" applyFont="1" applyBorder="1"/>
    <xf numFmtId="0" fontId="0" fillId="0" borderId="0" xfId="0" applyFont="1"/>
    <xf numFmtId="37" fontId="0" fillId="0" borderId="1" xfId="0" applyNumberFormat="1" applyFill="1" applyBorder="1"/>
    <xf numFmtId="0" fontId="53" fillId="0" borderId="0" xfId="0" applyFont="1" applyBorder="1" applyAlignment="1">
      <alignment horizontal="center"/>
    </xf>
    <xf numFmtId="44" fontId="52" fillId="0" borderId="0" xfId="0" applyNumberFormat="1" applyFont="1" applyBorder="1"/>
    <xf numFmtId="0" fontId="0" fillId="0" borderId="0" xfId="0"/>
    <xf numFmtId="41" fontId="0" fillId="0" borderId="0" xfId="0" applyNumberFormat="1"/>
    <xf numFmtId="3" fontId="0" fillId="0" borderId="0" xfId="0" applyNumberFormat="1"/>
    <xf numFmtId="0" fontId="0" fillId="0" borderId="1" xfId="0" applyBorder="1"/>
    <xf numFmtId="178" fontId="0" fillId="0" borderId="0" xfId="1" applyNumberFormat="1" applyFont="1"/>
    <xf numFmtId="0" fontId="0" fillId="0" borderId="0" xfId="0" applyAlignment="1">
      <alignment horizontal="left" indent="2"/>
    </xf>
    <xf numFmtId="0" fontId="48" fillId="0" borderId="0" xfId="0" applyFont="1"/>
    <xf numFmtId="0" fontId="0" fillId="0" borderId="0" xfId="0" applyBorder="1"/>
    <xf numFmtId="0" fontId="48" fillId="0" borderId="0" xfId="0" applyFont="1" applyFill="1" applyBorder="1" applyAlignment="1">
      <alignment horizontal="right"/>
    </xf>
    <xf numFmtId="0" fontId="0" fillId="0" borderId="1" xfId="0" applyBorder="1" applyAlignment="1">
      <alignment horizontal="left" indent="2"/>
    </xf>
    <xf numFmtId="0" fontId="48" fillId="0" borderId="0" xfId="0" applyFont="1" applyAlignment="1">
      <alignment horizontal="right"/>
    </xf>
    <xf numFmtId="0" fontId="48" fillId="0" borderId="1" xfId="0" applyFont="1" applyBorder="1" applyAlignment="1">
      <alignment horizontal="center"/>
    </xf>
    <xf numFmtId="0" fontId="48" fillId="0" borderId="0" xfId="0" applyFont="1" applyAlignment="1">
      <alignment horizontal="center"/>
    </xf>
    <xf numFmtId="0" fontId="48" fillId="0" borderId="0" xfId="0" applyFont="1" applyBorder="1" applyAlignment="1">
      <alignment horizontal="center"/>
    </xf>
    <xf numFmtId="37" fontId="0" fillId="0" borderId="0" xfId="0" applyNumberFormat="1"/>
    <xf numFmtId="0" fontId="0" fillId="0" borderId="0" xfId="0" applyFill="1"/>
    <xf numFmtId="0" fontId="0" fillId="0" borderId="0" xfId="0" applyAlignment="1">
      <alignment horizontal="center"/>
    </xf>
    <xf numFmtId="0" fontId="0" fillId="0" borderId="0" xfId="0" applyFill="1" applyBorder="1" applyAlignment="1">
      <alignment horizontal="left" indent="1"/>
    </xf>
    <xf numFmtId="0" fontId="0" fillId="0" borderId="1" xfId="0" applyFill="1" applyBorder="1" applyAlignment="1">
      <alignment horizontal="left" indent="1"/>
    </xf>
    <xf numFmtId="164" fontId="0" fillId="0" borderId="0" xfId="0" applyNumberFormat="1"/>
    <xf numFmtId="0" fontId="48" fillId="0" borderId="0" xfId="0" applyFont="1" applyFill="1" applyBorder="1" applyAlignment="1">
      <alignment horizontal="right" wrapText="1" indent="1"/>
    </xf>
    <xf numFmtId="41" fontId="0" fillId="0" borderId="1" xfId="0" applyNumberFormat="1" applyBorder="1"/>
    <xf numFmtId="9" fontId="0" fillId="0" borderId="1" xfId="1898" applyFont="1" applyBorder="1"/>
    <xf numFmtId="0" fontId="48" fillId="0" borderId="0" xfId="0" applyFont="1" applyBorder="1" applyAlignment="1">
      <alignment horizontal="left" wrapText="1"/>
    </xf>
    <xf numFmtId="0" fontId="0" fillId="0" borderId="0" xfId="0" applyFill="1" applyAlignment="1">
      <alignment horizontal="left" indent="1"/>
    </xf>
    <xf numFmtId="0" fontId="48" fillId="0" borderId="0" xfId="0" applyFont="1" applyBorder="1" applyAlignment="1">
      <alignment horizontal="right"/>
    </xf>
    <xf numFmtId="37" fontId="0" fillId="0" borderId="0" xfId="0" applyNumberFormat="1" applyFill="1"/>
    <xf numFmtId="0" fontId="48" fillId="0" borderId="0" xfId="0" applyFont="1" applyFill="1" applyBorder="1" applyAlignment="1">
      <alignment wrapText="1"/>
    </xf>
    <xf numFmtId="0" fontId="0" fillId="0" borderId="0" xfId="0" applyFill="1" applyBorder="1" applyAlignment="1">
      <alignment horizontal="center"/>
    </xf>
    <xf numFmtId="0" fontId="50" fillId="0" borderId="0" xfId="0" applyFont="1" applyAlignment="1">
      <alignment horizontal="left"/>
    </xf>
    <xf numFmtId="37" fontId="0" fillId="0" borderId="0" xfId="0" applyNumberFormat="1" applyBorder="1"/>
    <xf numFmtId="0" fontId="0" fillId="0" borderId="1" xfId="0" applyFill="1" applyBorder="1"/>
    <xf numFmtId="0" fontId="50" fillId="0" borderId="0" xfId="0" applyFont="1" applyAlignment="1">
      <alignment horizontal="right"/>
    </xf>
    <xf numFmtId="41" fontId="0" fillId="0" borderId="0" xfId="0" applyNumberFormat="1" applyBorder="1"/>
    <xf numFmtId="0" fontId="0" fillId="0" borderId="0" xfId="0" applyFont="1"/>
    <xf numFmtId="42" fontId="0" fillId="0" borderId="0" xfId="0" applyNumberFormat="1" applyFont="1"/>
    <xf numFmtId="0" fontId="51" fillId="0" borderId="0" xfId="0" applyFont="1" applyAlignment="1">
      <alignment horizontal="right"/>
    </xf>
    <xf numFmtId="0" fontId="0" fillId="0" borderId="0" xfId="0" applyFont="1" applyAlignment="1">
      <alignment horizontal="center"/>
    </xf>
    <xf numFmtId="0" fontId="0" fillId="0" borderId="0" xfId="0"/>
    <xf numFmtId="42" fontId="0" fillId="0" borderId="0" xfId="0" applyNumberFormat="1"/>
    <xf numFmtId="41" fontId="0" fillId="0" borderId="0" xfId="0" applyNumberFormat="1"/>
    <xf numFmtId="0" fontId="0" fillId="0" borderId="1" xfId="0" applyBorder="1"/>
    <xf numFmtId="178" fontId="0" fillId="0" borderId="0" xfId="1" applyNumberFormat="1" applyFont="1"/>
    <xf numFmtId="0" fontId="0" fillId="0" borderId="0" xfId="0" applyAlignment="1">
      <alignment horizontal="left" indent="2"/>
    </xf>
    <xf numFmtId="0" fontId="48" fillId="0" borderId="0" xfId="0" applyFont="1"/>
    <xf numFmtId="0" fontId="0" fillId="0" borderId="0" xfId="0" applyBorder="1"/>
    <xf numFmtId="0" fontId="48" fillId="0" borderId="0" xfId="0" applyFont="1" applyFill="1" applyBorder="1" applyAlignment="1">
      <alignment horizontal="right"/>
    </xf>
    <xf numFmtId="0" fontId="0" fillId="0" borderId="1" xfId="0" applyBorder="1" applyAlignment="1">
      <alignment horizontal="left" indent="2"/>
    </xf>
    <xf numFmtId="0" fontId="48" fillId="0" borderId="0" xfId="0" applyFont="1" applyAlignment="1">
      <alignment horizontal="right"/>
    </xf>
    <xf numFmtId="0" fontId="48" fillId="0" borderId="1" xfId="0" applyFont="1" applyBorder="1" applyAlignment="1">
      <alignment horizontal="center"/>
    </xf>
    <xf numFmtId="0" fontId="48" fillId="0" borderId="0" xfId="0" applyFont="1" applyAlignment="1">
      <alignment horizontal="center"/>
    </xf>
    <xf numFmtId="0" fontId="48" fillId="0" borderId="0" xfId="0" applyFont="1" applyBorder="1" applyAlignment="1">
      <alignment horizontal="center"/>
    </xf>
    <xf numFmtId="37" fontId="0" fillId="0" borderId="0" xfId="0" applyNumberFormat="1"/>
    <xf numFmtId="0" fontId="0" fillId="0" borderId="0" xfId="0" applyFill="1"/>
    <xf numFmtId="0" fontId="0" fillId="0" borderId="0" xfId="0" applyAlignment="1">
      <alignment horizontal="center"/>
    </xf>
    <xf numFmtId="0" fontId="0" fillId="0" borderId="0" xfId="0" applyFill="1" applyBorder="1" applyAlignment="1">
      <alignment horizontal="left" indent="1"/>
    </xf>
    <xf numFmtId="178" fontId="0" fillId="0" borderId="0" xfId="1" applyNumberFormat="1" applyFont="1" applyBorder="1"/>
    <xf numFmtId="0" fontId="0" fillId="0" borderId="1" xfId="0" applyFill="1" applyBorder="1" applyAlignment="1">
      <alignment horizontal="left" indent="1"/>
    </xf>
    <xf numFmtId="180" fontId="0" fillId="0" borderId="1" xfId="1898" applyNumberFormat="1" applyFont="1" applyBorder="1"/>
    <xf numFmtId="42" fontId="0" fillId="0" borderId="0" xfId="0" applyNumberFormat="1" applyBorder="1"/>
    <xf numFmtId="0" fontId="48" fillId="0" borderId="0" xfId="0" applyFont="1" applyFill="1" applyBorder="1" applyAlignment="1">
      <alignment horizontal="right" wrapText="1" indent="1"/>
    </xf>
    <xf numFmtId="41" fontId="0" fillId="0" borderId="1" xfId="0" applyNumberFormat="1" applyBorder="1"/>
    <xf numFmtId="0" fontId="48" fillId="0" borderId="0" xfId="0" applyFont="1" applyBorder="1" applyAlignment="1">
      <alignment horizontal="left" wrapText="1"/>
    </xf>
    <xf numFmtId="0" fontId="0" fillId="0" borderId="0" xfId="0" applyFill="1" applyAlignment="1">
      <alignment horizontal="left" indent="1"/>
    </xf>
    <xf numFmtId="0" fontId="48" fillId="0" borderId="0" xfId="0" applyFont="1" applyBorder="1" applyAlignment="1">
      <alignment horizontal="right"/>
    </xf>
    <xf numFmtId="0" fontId="48" fillId="0" borderId="0" xfId="0" applyFont="1" applyFill="1" applyBorder="1" applyAlignment="1">
      <alignment wrapText="1"/>
    </xf>
    <xf numFmtId="0" fontId="0" fillId="0" borderId="0" xfId="0" applyFill="1" applyBorder="1" applyAlignment="1">
      <alignment horizontal="center"/>
    </xf>
    <xf numFmtId="37" fontId="0" fillId="0" borderId="0" xfId="0" applyNumberFormat="1" applyBorder="1"/>
    <xf numFmtId="5" fontId="54" fillId="0" borderId="0" xfId="0" applyNumberFormat="1" applyFont="1" applyAlignment="1"/>
    <xf numFmtId="0" fontId="50" fillId="0" borderId="0" xfId="0" applyFont="1" applyAlignment="1">
      <alignment horizontal="right"/>
    </xf>
    <xf numFmtId="41" fontId="0" fillId="0" borderId="0" xfId="0" applyNumberFormat="1" applyBorder="1"/>
    <xf numFmtId="41" fontId="0" fillId="0" borderId="0" xfId="1" applyNumberFormat="1" applyFont="1" applyBorder="1"/>
    <xf numFmtId="41" fontId="0" fillId="0" borderId="0" xfId="1" applyNumberFormat="1" applyFont="1" applyFill="1" applyBorder="1"/>
    <xf numFmtId="0" fontId="0" fillId="0" borderId="0" xfId="0"/>
    <xf numFmtId="42" fontId="0" fillId="0" borderId="0" xfId="0" applyNumberFormat="1"/>
    <xf numFmtId="0" fontId="0" fillId="0" borderId="1" xfId="0" applyBorder="1"/>
    <xf numFmtId="0" fontId="48" fillId="0" borderId="1" xfId="0" applyFont="1" applyBorder="1" applyAlignment="1">
      <alignment horizontal="center"/>
    </xf>
    <xf numFmtId="0" fontId="48" fillId="0" borderId="0" xfId="0" applyFont="1" applyAlignment="1">
      <alignment horizontal="center"/>
    </xf>
    <xf numFmtId="0" fontId="0" fillId="0" borderId="0" xfId="0" applyAlignment="1">
      <alignment horizontal="center"/>
    </xf>
    <xf numFmtId="0" fontId="0" fillId="0" borderId="0" xfId="0" applyFont="1"/>
    <xf numFmtId="0" fontId="0" fillId="0" borderId="0" xfId="0" applyFont="1" applyFill="1"/>
    <xf numFmtId="179" fontId="0" fillId="0" borderId="0" xfId="0" applyNumberFormat="1" applyFont="1" applyFill="1" applyAlignment="1">
      <alignment horizontal="left"/>
    </xf>
    <xf numFmtId="49" fontId="0" fillId="0" borderId="0" xfId="0" applyNumberFormat="1" applyFont="1" applyFill="1"/>
    <xf numFmtId="43" fontId="0" fillId="0" borderId="0" xfId="2" applyFont="1"/>
    <xf numFmtId="0" fontId="56" fillId="0" borderId="1" xfId="0" applyFont="1" applyBorder="1" applyAlignment="1">
      <alignment horizontal="center"/>
    </xf>
    <xf numFmtId="181" fontId="56" fillId="0" borderId="1" xfId="0" applyNumberFormat="1" applyFont="1" applyBorder="1" applyAlignment="1">
      <alignment horizontal="center"/>
    </xf>
    <xf numFmtId="14" fontId="0" fillId="0" borderId="0" xfId="0" applyNumberFormat="1" applyFont="1" applyFill="1"/>
    <xf numFmtId="0" fontId="0" fillId="26" borderId="0" xfId="0" applyFont="1" applyFill="1"/>
    <xf numFmtId="14" fontId="48" fillId="0" borderId="0" xfId="0" applyNumberFormat="1" applyFont="1"/>
    <xf numFmtId="14" fontId="48" fillId="0" borderId="0" xfId="0" applyNumberFormat="1" applyFont="1" applyFill="1"/>
    <xf numFmtId="0" fontId="48" fillId="0" borderId="0" xfId="0" applyFont="1" applyFill="1"/>
    <xf numFmtId="0" fontId="0" fillId="0" borderId="0" xfId="0" applyFont="1" applyAlignment="1"/>
    <xf numFmtId="43" fontId="0" fillId="0" borderId="0" xfId="2" applyFont="1" applyBorder="1"/>
    <xf numFmtId="0" fontId="48" fillId="0" borderId="1" xfId="0" applyFont="1" applyBorder="1" applyAlignment="1">
      <alignment horizontal="center" wrapText="1"/>
    </xf>
    <xf numFmtId="0" fontId="48" fillId="0" borderId="0" xfId="0" applyFont="1" applyAlignment="1">
      <alignment horizontal="center" wrapText="1"/>
    </xf>
    <xf numFmtId="0" fontId="0" fillId="0" borderId="0" xfId="0" applyFont="1" applyAlignment="1">
      <alignment wrapText="1"/>
    </xf>
    <xf numFmtId="14" fontId="57" fillId="0" borderId="1" xfId="1896" applyNumberFormat="1" applyFont="1" applyBorder="1" applyAlignment="1">
      <alignment horizontal="center" wrapText="1"/>
    </xf>
    <xf numFmtId="3" fontId="57" fillId="0" borderId="1" xfId="1896" applyFont="1" applyBorder="1" applyAlignment="1">
      <alignment horizontal="center" wrapText="1"/>
    </xf>
    <xf numFmtId="3" fontId="57" fillId="0" borderId="0" xfId="1896" applyFont="1" applyFill="1" applyBorder="1" applyAlignment="1">
      <alignment horizontal="center" wrapText="1"/>
    </xf>
    <xf numFmtId="178" fontId="0" fillId="0" borderId="16" xfId="1" applyNumberFormat="1" applyFont="1" applyBorder="1"/>
    <xf numFmtId="0" fontId="48" fillId="0" borderId="0" xfId="0" applyFont="1" applyAlignment="1">
      <alignment horizontal="left"/>
    </xf>
    <xf numFmtId="0" fontId="0" fillId="0" borderId="0" xfId="0" applyNumberFormat="1" applyFont="1" applyAlignment="1">
      <alignment horizontal="center"/>
    </xf>
    <xf numFmtId="0" fontId="48" fillId="0" borderId="0" xfId="0" applyFont="1" applyAlignment="1"/>
    <xf numFmtId="0" fontId="48" fillId="0" borderId="0" xfId="0" applyFont="1" applyFill="1" applyAlignment="1">
      <alignment horizontal="right"/>
    </xf>
    <xf numFmtId="0" fontId="48" fillId="0" borderId="0" xfId="0" applyFont="1" applyBorder="1" applyAlignment="1">
      <alignment wrapText="1"/>
    </xf>
    <xf numFmtId="0" fontId="48" fillId="0" borderId="0" xfId="0" applyFont="1" applyBorder="1" applyAlignment="1">
      <alignment horizontal="center" wrapText="1"/>
    </xf>
    <xf numFmtId="5" fontId="0" fillId="0" borderId="0" xfId="1" applyNumberFormat="1" applyFont="1" applyBorder="1"/>
    <xf numFmtId="5" fontId="0" fillId="0" borderId="0" xfId="0" applyNumberFormat="1" applyFont="1" applyBorder="1"/>
    <xf numFmtId="37" fontId="0" fillId="0" borderId="0" xfId="0" applyNumberFormat="1" applyFont="1"/>
    <xf numFmtId="0" fontId="0" fillId="0" borderId="0" xfId="0" applyFont="1" applyAlignment="1">
      <alignment horizontal="left" wrapText="1" indent="3"/>
    </xf>
    <xf numFmtId="37" fontId="0" fillId="0" borderId="0" xfId="2" applyNumberFormat="1" applyFont="1" applyBorder="1"/>
    <xf numFmtId="37" fontId="0" fillId="0" borderId="0" xfId="0" applyNumberFormat="1" applyFont="1" applyAlignment="1">
      <alignment horizontal="center"/>
    </xf>
    <xf numFmtId="5" fontId="0" fillId="0" borderId="16" xfId="0" applyNumberFormat="1" applyFont="1" applyBorder="1"/>
    <xf numFmtId="5" fontId="0" fillId="0" borderId="0" xfId="0" applyNumberFormat="1" applyFont="1"/>
    <xf numFmtId="5" fontId="0" fillId="0" borderId="0" xfId="0" applyNumberFormat="1" applyFont="1" applyAlignment="1">
      <alignment horizontal="center"/>
    </xf>
    <xf numFmtId="5" fontId="0" fillId="0" borderId="0" xfId="0" applyNumberFormat="1" applyFont="1" applyFill="1"/>
    <xf numFmtId="37" fontId="0" fillId="0" borderId="0" xfId="2" applyNumberFormat="1" applyFont="1"/>
    <xf numFmtId="41" fontId="0" fillId="0" borderId="0" xfId="0" applyNumberFormat="1" applyFont="1"/>
    <xf numFmtId="0" fontId="48" fillId="0" borderId="17" xfId="0" applyFont="1" applyBorder="1" applyAlignment="1">
      <alignment horizontal="right"/>
    </xf>
    <xf numFmtId="41" fontId="48" fillId="0" borderId="17" xfId="0" applyNumberFormat="1" applyFont="1" applyBorder="1"/>
    <xf numFmtId="41" fontId="48" fillId="0" borderId="0" xfId="0" applyNumberFormat="1" applyFont="1"/>
    <xf numFmtId="0" fontId="48" fillId="0" borderId="0" xfId="0" applyFont="1" applyAlignment="1">
      <alignment wrapText="1"/>
    </xf>
    <xf numFmtId="0" fontId="0" fillId="0" borderId="0" xfId="0" applyFont="1" applyAlignment="1">
      <alignment horizontal="left" indent="2"/>
    </xf>
    <xf numFmtId="0" fontId="48" fillId="0" borderId="17" xfId="0" applyFont="1" applyBorder="1" applyAlignment="1">
      <alignment horizontal="left" indent="1"/>
    </xf>
    <xf numFmtId="0" fontId="0" fillId="0" borderId="1" xfId="0" applyFont="1" applyBorder="1" applyAlignment="1">
      <alignment horizontal="left" indent="1"/>
    </xf>
    <xf numFmtId="10" fontId="0" fillId="0" borderId="0" xfId="0" applyNumberFormat="1" applyFont="1"/>
    <xf numFmtId="0" fontId="0" fillId="0" borderId="1" xfId="0" applyFont="1" applyBorder="1"/>
    <xf numFmtId="0" fontId="0" fillId="0" borderId="0" xfId="0" applyFont="1" applyBorder="1"/>
    <xf numFmtId="37" fontId="0" fillId="0" borderId="0" xfId="0" applyNumberFormat="1" applyFont="1" applyBorder="1"/>
    <xf numFmtId="42" fontId="0" fillId="0" borderId="0" xfId="0" applyNumberFormat="1" applyFont="1" applyAlignment="1">
      <alignment horizontal="left"/>
    </xf>
    <xf numFmtId="0" fontId="55" fillId="0" borderId="0" xfId="0" applyFont="1"/>
    <xf numFmtId="41" fontId="0" fillId="0" borderId="0" xfId="0" applyNumberFormat="1" applyFont="1" applyFill="1"/>
    <xf numFmtId="0" fontId="55" fillId="0" borderId="0" xfId="0" applyFont="1" applyAlignment="1">
      <alignment horizontal="center"/>
    </xf>
    <xf numFmtId="43" fontId="0" fillId="0" borderId="0" xfId="0" applyNumberFormat="1" applyFont="1" applyFill="1"/>
    <xf numFmtId="0" fontId="0" fillId="0" borderId="0" xfId="0"/>
    <xf numFmtId="0" fontId="0" fillId="0" borderId="0" xfId="0"/>
    <xf numFmtId="0" fontId="0" fillId="0" borderId="0" xfId="0"/>
    <xf numFmtId="41" fontId="0" fillId="0" borderId="0" xfId="0" applyNumberFormat="1"/>
    <xf numFmtId="0" fontId="0" fillId="0" borderId="0" xfId="0" applyFont="1"/>
    <xf numFmtId="0" fontId="0" fillId="0" borderId="0" xfId="0"/>
    <xf numFmtId="0" fontId="64" fillId="0" borderId="0" xfId="1917" applyFont="1" applyAlignment="1">
      <alignment horizontal="center"/>
    </xf>
    <xf numFmtId="5" fontId="0" fillId="0" borderId="0" xfId="0" applyNumberFormat="1"/>
    <xf numFmtId="5" fontId="1" fillId="0" borderId="0" xfId="0" applyNumberFormat="1" applyFont="1"/>
    <xf numFmtId="0" fontId="0" fillId="0" borderId="0" xfId="0"/>
    <xf numFmtId="0" fontId="0" fillId="0" borderId="0" xfId="0" applyAlignment="1">
      <alignment horizontal="left" indent="1"/>
    </xf>
    <xf numFmtId="0" fontId="0" fillId="0" borderId="0" xfId="0" applyAlignment="1">
      <alignment horizontal="left"/>
    </xf>
    <xf numFmtId="5" fontId="0" fillId="0" borderId="0" xfId="0" applyNumberFormat="1" applyAlignment="1">
      <alignment horizontal="left"/>
    </xf>
    <xf numFmtId="42" fontId="0" fillId="0" borderId="0" xfId="0" applyNumberFormat="1"/>
    <xf numFmtId="0" fontId="48" fillId="0" borderId="0" xfId="0" applyFont="1"/>
    <xf numFmtId="0" fontId="48" fillId="0" borderId="0" xfId="0" applyFont="1" applyAlignment="1">
      <alignment horizontal="center"/>
    </xf>
    <xf numFmtId="0" fontId="0" fillId="0" borderId="0" xfId="0" applyFont="1"/>
    <xf numFmtId="42" fontId="0" fillId="0" borderId="0" xfId="0" applyNumberFormat="1" applyFont="1"/>
    <xf numFmtId="37" fontId="0" fillId="0" borderId="0" xfId="0" applyNumberFormat="1" applyFont="1" applyFill="1"/>
    <xf numFmtId="0" fontId="66" fillId="0" borderId="0" xfId="0" applyFont="1" applyAlignment="1">
      <alignment horizontal="center"/>
    </xf>
    <xf numFmtId="0" fontId="0" fillId="0" borderId="25" xfId="0" applyBorder="1"/>
    <xf numFmtId="0" fontId="0" fillId="0" borderId="25" xfId="0" applyFont="1" applyBorder="1"/>
    <xf numFmtId="41" fontId="0" fillId="0" borderId="25" xfId="0" applyNumberFormat="1" applyFont="1" applyFill="1" applyBorder="1"/>
    <xf numFmtId="0" fontId="0" fillId="0" borderId="24" xfId="0" applyBorder="1"/>
    <xf numFmtId="0" fontId="0" fillId="0" borderId="0" xfId="0"/>
    <xf numFmtId="41" fontId="0" fillId="0" borderId="26" xfId="0" applyNumberFormat="1" applyFont="1" applyFill="1" applyBorder="1"/>
    <xf numFmtId="0" fontId="48" fillId="0" borderId="0" xfId="0" applyFont="1"/>
    <xf numFmtId="0" fontId="0" fillId="0" borderId="0" xfId="0" applyFont="1"/>
    <xf numFmtId="0" fontId="0" fillId="0" borderId="0" xfId="0" applyAlignment="1">
      <alignment horizontal="left"/>
    </xf>
    <xf numFmtId="5" fontId="0" fillId="0" borderId="0" xfId="0" applyNumberFormat="1" applyAlignment="1">
      <alignment horizontal="left"/>
    </xf>
    <xf numFmtId="0" fontId="0" fillId="0" borderId="0" xfId="0" applyAlignment="1">
      <alignment horizontal="left"/>
    </xf>
    <xf numFmtId="0" fontId="0" fillId="0" borderId="0" xfId="0" applyAlignment="1">
      <alignment horizontal="left" indent="1"/>
    </xf>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3" fontId="65" fillId="0" borderId="0" xfId="1896" applyFont="1" applyFill="1" applyAlignment="1">
      <alignment horizontal="left" indent="1"/>
    </xf>
    <xf numFmtId="3" fontId="58" fillId="0" borderId="0" xfId="1896" applyFont="1" applyFill="1" applyAlignment="1">
      <alignment horizontal="left" indent="3"/>
    </xf>
    <xf numFmtId="0" fontId="3" fillId="0" borderId="0" xfId="0" applyFont="1"/>
    <xf numFmtId="3" fontId="58" fillId="0" borderId="0" xfId="1896" applyFont="1" applyFill="1" applyAlignment="1">
      <alignment horizontal="left" indent="1"/>
    </xf>
    <xf numFmtId="0" fontId="0" fillId="0" borderId="0" xfId="0" applyFont="1"/>
    <xf numFmtId="0" fontId="0" fillId="0" borderId="0" xfId="0"/>
    <xf numFmtId="0" fontId="0" fillId="0" borderId="0" xfId="0" applyAlignment="1">
      <alignment horizontal="left" indent="1"/>
    </xf>
    <xf numFmtId="0" fontId="0" fillId="0" borderId="1" xfId="0" applyBorder="1"/>
    <xf numFmtId="0" fontId="0" fillId="0" borderId="0" xfId="0"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left"/>
    </xf>
    <xf numFmtId="0" fontId="0" fillId="0" borderId="0" xfId="0" applyBorder="1"/>
    <xf numFmtId="0" fontId="0" fillId="0" borderId="0" xfId="0" applyFill="1" applyBorder="1" applyAlignment="1">
      <alignment horizontal="left" indent="1"/>
    </xf>
    <xf numFmtId="0" fontId="0" fillId="0" borderId="1" xfId="0" applyBorder="1" applyAlignment="1">
      <alignment horizontal="center"/>
    </xf>
    <xf numFmtId="3" fontId="58" fillId="0" borderId="1" xfId="1896" applyFont="1" applyFill="1" applyBorder="1" applyAlignment="1">
      <alignment horizontal="left" indent="3"/>
    </xf>
    <xf numFmtId="0" fontId="0" fillId="0" borderId="27" xfId="0" applyBorder="1"/>
    <xf numFmtId="41" fontId="0" fillId="0" borderId="0" xfId="0" applyNumberFormat="1" applyFont="1" applyBorder="1"/>
    <xf numFmtId="41" fontId="0" fillId="0" borderId="28" xfId="0" applyNumberFormat="1" applyFont="1" applyFill="1" applyBorder="1"/>
    <xf numFmtId="0" fontId="0" fillId="0" borderId="27" xfId="0" applyFill="1" applyBorder="1" applyAlignment="1">
      <alignment horizontal="left" indent="1"/>
    </xf>
    <xf numFmtId="43" fontId="0" fillId="0" borderId="0" xfId="0" applyNumberFormat="1" applyFont="1" applyFill="1" applyBorder="1"/>
    <xf numFmtId="0" fontId="0" fillId="0" borderId="28" xfId="0" applyFont="1" applyBorder="1"/>
    <xf numFmtId="0" fontId="0" fillId="0" borderId="27" xfId="0" applyFont="1" applyBorder="1"/>
    <xf numFmtId="0" fontId="0" fillId="0" borderId="0" xfId="0" applyFont="1" applyFill="1" applyBorder="1"/>
    <xf numFmtId="0" fontId="0" fillId="0" borderId="28" xfId="0" applyBorder="1"/>
    <xf numFmtId="3" fontId="58" fillId="0" borderId="27" xfId="1896" applyFont="1" applyFill="1" applyBorder="1" applyAlignment="1">
      <alignment horizontal="left" indent="3"/>
    </xf>
    <xf numFmtId="3" fontId="58" fillId="0" borderId="0" xfId="1896" applyFont="1" applyFill="1" applyBorder="1" applyAlignment="1">
      <alignment horizontal="left" indent="3"/>
    </xf>
    <xf numFmtId="3" fontId="58" fillId="0" borderId="29" xfId="1896" applyFont="1" applyFill="1" applyBorder="1" applyAlignment="1">
      <alignment horizontal="left" indent="3"/>
    </xf>
    <xf numFmtId="3" fontId="58" fillId="0" borderId="31" xfId="1896" applyFont="1" applyFill="1" applyBorder="1" applyAlignment="1">
      <alignment horizontal="left" indent="3"/>
    </xf>
    <xf numFmtId="0" fontId="0" fillId="0" borderId="33" xfId="0" applyBorder="1"/>
    <xf numFmtId="3" fontId="58" fillId="0" borderId="33" xfId="1896" applyFont="1" applyFill="1" applyBorder="1" applyAlignment="1">
      <alignment horizontal="left" indent="3"/>
    </xf>
    <xf numFmtId="0" fontId="0" fillId="0" borderId="27" xfId="0" applyBorder="1" applyAlignment="1">
      <alignment horizontal="right"/>
    </xf>
    <xf numFmtId="0" fontId="0" fillId="0" borderId="31" xfId="0" applyFont="1" applyBorder="1"/>
    <xf numFmtId="42" fontId="0" fillId="0" borderId="33" xfId="0" applyNumberFormat="1" applyFont="1" applyBorder="1"/>
    <xf numFmtId="0" fontId="0" fillId="0" borderId="33" xfId="0" applyFont="1" applyBorder="1"/>
    <xf numFmtId="10" fontId="0" fillId="0" borderId="0" xfId="0" applyNumberFormat="1" applyFont="1" applyBorder="1"/>
    <xf numFmtId="0" fontId="0" fillId="0" borderId="31" xfId="0" applyBorder="1"/>
    <xf numFmtId="10" fontId="0" fillId="0" borderId="0" xfId="0" applyNumberFormat="1" applyBorder="1"/>
    <xf numFmtId="3" fontId="0" fillId="0" borderId="0" xfId="0" applyNumberFormat="1" applyBorder="1"/>
    <xf numFmtId="0" fontId="0" fillId="0" borderId="36" xfId="0" applyBorder="1" applyAlignment="1">
      <alignment horizontal="center"/>
    </xf>
    <xf numFmtId="42" fontId="0" fillId="0" borderId="35" xfId="0" applyNumberFormat="1" applyFont="1" applyBorder="1"/>
    <xf numFmtId="41" fontId="0" fillId="0" borderId="0" xfId="0" applyNumberFormat="1"/>
    <xf numFmtId="0" fontId="0" fillId="0" borderId="0" xfId="0" applyFill="1"/>
    <xf numFmtId="41" fontId="0" fillId="0" borderId="1" xfId="1" applyNumberFormat="1" applyFont="1" applyBorder="1"/>
    <xf numFmtId="42" fontId="0" fillId="0" borderId="0" xfId="0" applyNumberFormat="1" applyBorder="1"/>
    <xf numFmtId="41" fontId="0" fillId="0" borderId="1" xfId="0" applyNumberFormat="1" applyBorder="1"/>
    <xf numFmtId="41" fontId="0" fillId="0" borderId="0" xfId="1" applyNumberFormat="1" applyFont="1" applyFill="1"/>
    <xf numFmtId="0" fontId="0" fillId="0" borderId="1" xfId="0" applyBorder="1" applyAlignment="1">
      <alignment horizontal="center"/>
    </xf>
    <xf numFmtId="41" fontId="0" fillId="0" borderId="0" xfId="0" applyNumberFormat="1" applyFill="1"/>
    <xf numFmtId="41" fontId="0" fillId="0" borderId="1" xfId="0" applyNumberFormat="1" applyFill="1" applyBorder="1"/>
    <xf numFmtId="42" fontId="0" fillId="0" borderId="0" xfId="0" applyNumberFormat="1" applyFont="1"/>
    <xf numFmtId="42" fontId="0" fillId="0" borderId="33" xfId="0" applyNumberFormat="1" applyBorder="1"/>
    <xf numFmtId="0" fontId="0" fillId="0" borderId="40" xfId="0" applyBorder="1" applyAlignment="1">
      <alignment horizontal="center"/>
    </xf>
    <xf numFmtId="37" fontId="0" fillId="0" borderId="28" xfId="0" applyNumberFormat="1" applyFont="1" applyBorder="1"/>
    <xf numFmtId="41" fontId="1" fillId="0" borderId="0" xfId="0" applyNumberFormat="1" applyFont="1" applyFill="1"/>
    <xf numFmtId="0" fontId="48" fillId="0" borderId="0" xfId="0" applyFont="1" applyFill="1" applyAlignment="1"/>
    <xf numFmtId="0" fontId="48" fillId="0" borderId="0" xfId="0" applyFont="1" applyFill="1" applyAlignment="1">
      <alignment horizontal="center"/>
    </xf>
    <xf numFmtId="41" fontId="48" fillId="0" borderId="17" xfId="0" applyNumberFormat="1" applyFont="1" applyFill="1" applyBorder="1"/>
    <xf numFmtId="41" fontId="48" fillId="0" borderId="0" xfId="0" applyNumberFormat="1" applyFont="1" applyFill="1"/>
    <xf numFmtId="10" fontId="0" fillId="0" borderId="0" xfId="0" applyNumberFormat="1" applyFont="1" applyFill="1"/>
    <xf numFmtId="0" fontId="0" fillId="0" borderId="0" xfId="0" applyFill="1" applyBorder="1"/>
    <xf numFmtId="41" fontId="2" fillId="0" borderId="0" xfId="0" applyNumberFormat="1" applyFont="1" applyFill="1"/>
    <xf numFmtId="10" fontId="1" fillId="0" borderId="0" xfId="0" applyNumberFormat="1" applyFont="1" applyFill="1"/>
    <xf numFmtId="41" fontId="0" fillId="0" borderId="1" xfId="1" applyNumberFormat="1" applyFont="1" applyFill="1" applyBorder="1"/>
    <xf numFmtId="42" fontId="0" fillId="0" borderId="0" xfId="0" applyNumberFormat="1" applyFill="1" applyBorder="1"/>
    <xf numFmtId="42" fontId="0" fillId="0" borderId="0" xfId="0" applyNumberFormat="1" applyFill="1"/>
    <xf numFmtId="180" fontId="0" fillId="0" borderId="1" xfId="1898" applyNumberFormat="1" applyFont="1" applyFill="1" applyBorder="1"/>
    <xf numFmtId="5" fontId="48" fillId="0" borderId="0" xfId="0" applyNumberFormat="1" applyFont="1"/>
    <xf numFmtId="5" fontId="48" fillId="0" borderId="17" xfId="0" applyNumberFormat="1" applyFont="1" applyBorder="1"/>
    <xf numFmtId="5" fontId="0" fillId="0" borderId="0" xfId="0" applyNumberFormat="1" applyBorder="1"/>
    <xf numFmtId="5" fontId="48" fillId="0" borderId="16" xfId="0" applyNumberFormat="1" applyFont="1" applyBorder="1"/>
    <xf numFmtId="5" fontId="0" fillId="0" borderId="0" xfId="1" applyNumberFormat="1" applyFont="1" applyFill="1" applyBorder="1"/>
    <xf numFmtId="49" fontId="1" fillId="0" borderId="0" xfId="0" applyNumberFormat="1" applyFont="1"/>
    <xf numFmtId="5" fontId="0" fillId="0" borderId="15" xfId="0" applyNumberFormat="1" applyBorder="1"/>
    <xf numFmtId="0" fontId="0" fillId="0" borderId="0" xfId="0"/>
    <xf numFmtId="0" fontId="0" fillId="0" borderId="0" xfId="0" applyAlignment="1">
      <alignment horizontal="left" indent="1"/>
    </xf>
    <xf numFmtId="0" fontId="0" fillId="0" borderId="1" xfId="0" applyBorder="1"/>
    <xf numFmtId="37" fontId="0" fillId="0" borderId="0" xfId="0" applyNumberFormat="1"/>
    <xf numFmtId="37" fontId="0" fillId="0" borderId="1" xfId="0" applyNumberFormat="1" applyBorder="1"/>
    <xf numFmtId="0" fontId="48" fillId="0" borderId="1" xfId="0" applyFont="1" applyBorder="1" applyAlignment="1">
      <alignment horizontal="center"/>
    </xf>
    <xf numFmtId="0" fontId="0" fillId="0" borderId="33" xfId="0" applyFont="1" applyFill="1" applyBorder="1"/>
    <xf numFmtId="37" fontId="0" fillId="0" borderId="15" xfId="0" applyNumberFormat="1" applyFont="1" applyFill="1" applyBorder="1"/>
    <xf numFmtId="0" fontId="69" fillId="0" borderId="0" xfId="0" applyFont="1" applyAlignment="1">
      <alignment horizontal="center"/>
    </xf>
    <xf numFmtId="0" fontId="69" fillId="0" borderId="0" xfId="0" applyFont="1" applyFill="1" applyAlignment="1">
      <alignment horizontal="center"/>
    </xf>
    <xf numFmtId="0" fontId="48" fillId="0" borderId="0" xfId="0" applyFont="1"/>
    <xf numFmtId="37" fontId="0" fillId="0" borderId="1" xfId="0" applyNumberFormat="1" applyFont="1" applyFill="1" applyBorder="1"/>
    <xf numFmtId="0" fontId="0" fillId="0" borderId="0" xfId="0"/>
    <xf numFmtId="0" fontId="0" fillId="0" borderId="0" xfId="0"/>
    <xf numFmtId="0" fontId="0" fillId="0" borderId="0" xfId="0" applyFont="1"/>
    <xf numFmtId="37" fontId="0" fillId="0" borderId="1" xfId="0" applyNumberFormat="1" applyFont="1" applyBorder="1"/>
    <xf numFmtId="41" fontId="0" fillId="0" borderId="1" xfId="0" applyNumberFormat="1" applyFont="1" applyFill="1" applyBorder="1"/>
    <xf numFmtId="41" fontId="0" fillId="0" borderId="36" xfId="0" applyNumberFormat="1" applyFont="1" applyFill="1" applyBorder="1"/>
    <xf numFmtId="0" fontId="48" fillId="0" borderId="0" xfId="0" applyFont="1" applyAlignment="1">
      <alignment horizontal="center"/>
    </xf>
    <xf numFmtId="41" fontId="48" fillId="0" borderId="1" xfId="0" applyNumberFormat="1" applyFont="1" applyBorder="1"/>
    <xf numFmtId="5" fontId="1" fillId="0" borderId="0" xfId="0" applyNumberFormat="1" applyFont="1" applyFill="1"/>
    <xf numFmtId="5" fontId="48" fillId="0" borderId="0" xfId="1" applyNumberFormat="1" applyFont="1" applyFill="1" applyBorder="1"/>
    <xf numFmtId="5" fontId="48" fillId="0" borderId="0" xfId="1" applyNumberFormat="1" applyFont="1" applyBorder="1"/>
    <xf numFmtId="5" fontId="48" fillId="0" borderId="0" xfId="0" applyNumberFormat="1" applyFont="1" applyFill="1"/>
    <xf numFmtId="5" fontId="48" fillId="0" borderId="16" xfId="0" applyNumberFormat="1" applyFont="1" applyFill="1" applyBorder="1"/>
    <xf numFmtId="5" fontId="48" fillId="0" borderId="15" xfId="0" applyNumberFormat="1" applyFont="1" applyFill="1" applyBorder="1"/>
    <xf numFmtId="5" fontId="48" fillId="0" borderId="15" xfId="0" applyNumberFormat="1" applyFont="1" applyBorder="1"/>
    <xf numFmtId="5" fontId="48" fillId="0" borderId="0" xfId="1" applyNumberFormat="1" applyFont="1"/>
    <xf numFmtId="41" fontId="0" fillId="0" borderId="1" xfId="0" applyNumberFormat="1" applyFont="1" applyBorder="1"/>
    <xf numFmtId="5" fontId="48" fillId="0" borderId="17" xfId="0" applyNumberFormat="1" applyFont="1" applyFill="1" applyBorder="1"/>
    <xf numFmtId="5" fontId="0" fillId="0" borderId="15" xfId="0" applyNumberFormat="1" applyFont="1" applyBorder="1"/>
    <xf numFmtId="0" fontId="0" fillId="0" borderId="0" xfId="0" applyAlignment="1">
      <alignment wrapText="1"/>
    </xf>
    <xf numFmtId="0" fontId="0" fillId="0" borderId="0" xfId="0" applyBorder="1" applyAlignment="1">
      <alignment wrapText="1"/>
    </xf>
    <xf numFmtId="5" fontId="48" fillId="0" borderId="17" xfId="1" applyNumberFormat="1" applyFont="1" applyBorder="1"/>
    <xf numFmtId="5" fontId="0" fillId="0" borderId="1" xfId="0" applyNumberFormat="1" applyBorder="1"/>
    <xf numFmtId="0" fontId="0" fillId="0" borderId="1" xfId="0" applyFont="1" applyBorder="1" applyAlignment="1">
      <alignment horizontal="center"/>
    </xf>
    <xf numFmtId="5" fontId="0" fillId="0" borderId="19" xfId="0" applyNumberFormat="1" applyFont="1" applyBorder="1"/>
    <xf numFmtId="7" fontId="0" fillId="0" borderId="0" xfId="0" applyNumberFormat="1"/>
    <xf numFmtId="164" fontId="0" fillId="0" borderId="0" xfId="2" applyNumberFormat="1" applyFont="1" applyFill="1" applyBorder="1"/>
    <xf numFmtId="164" fontId="0" fillId="0" borderId="15" xfId="2" applyNumberFormat="1" applyFont="1" applyFill="1" applyBorder="1"/>
    <xf numFmtId="164" fontId="0" fillId="0" borderId="32" xfId="2" applyNumberFormat="1" applyFont="1" applyBorder="1"/>
    <xf numFmtId="164" fontId="0" fillId="0" borderId="28" xfId="2" applyNumberFormat="1" applyFont="1" applyBorder="1"/>
    <xf numFmtId="164" fontId="0" fillId="0" borderId="30" xfId="2" applyNumberFormat="1" applyFont="1" applyFill="1" applyBorder="1"/>
    <xf numFmtId="164" fontId="0" fillId="0" borderId="34" xfId="2" applyNumberFormat="1" applyFont="1" applyBorder="1"/>
    <xf numFmtId="164" fontId="0" fillId="0" borderId="0" xfId="0" applyNumberFormat="1" applyFill="1"/>
    <xf numFmtId="164" fontId="0" fillId="0" borderId="0" xfId="2" applyNumberFormat="1" applyFont="1" applyFill="1"/>
    <xf numFmtId="164" fontId="0" fillId="0" borderId="0" xfId="2" applyNumberFormat="1" applyFont="1"/>
    <xf numFmtId="0" fontId="48" fillId="0" borderId="0" xfId="0" applyFont="1" applyFill="1" applyBorder="1"/>
    <xf numFmtId="0" fontId="0" fillId="0" borderId="0" xfId="0" applyFill="1" applyAlignment="1">
      <alignment horizontal="left"/>
    </xf>
    <xf numFmtId="164" fontId="68" fillId="0" borderId="0" xfId="2" applyNumberFormat="1" applyFont="1" applyFill="1" applyBorder="1" applyAlignment="1">
      <alignment horizontal="center"/>
    </xf>
    <xf numFmtId="0" fontId="0" fillId="0" borderId="1" xfId="0" applyFont="1" applyFill="1" applyBorder="1"/>
    <xf numFmtId="0" fontId="67" fillId="0" borderId="0" xfId="0" applyFont="1" applyFill="1" applyAlignment="1">
      <alignment horizontal="right"/>
    </xf>
    <xf numFmtId="179" fontId="70" fillId="0" borderId="0" xfId="0" applyNumberFormat="1" applyFont="1" applyAlignment="1">
      <alignment horizontal="left"/>
    </xf>
    <xf numFmtId="0" fontId="71" fillId="0" borderId="0" xfId="0" applyFont="1"/>
    <xf numFmtId="43" fontId="0" fillId="0" borderId="19" xfId="0" applyNumberFormat="1" applyFont="1" applyFill="1" applyBorder="1"/>
    <xf numFmtId="0" fontId="67" fillId="0" borderId="0" xfId="0" applyFont="1"/>
    <xf numFmtId="43" fontId="48" fillId="0" borderId="15" xfId="2" applyFont="1" applyBorder="1"/>
    <xf numFmtId="42" fontId="48" fillId="0" borderId="0" xfId="0" applyNumberFormat="1" applyFont="1"/>
    <xf numFmtId="43" fontId="0" fillId="0" borderId="0" xfId="2" applyNumberFormat="1" applyFont="1"/>
    <xf numFmtId="43" fontId="0" fillId="0" borderId="0" xfId="0" applyNumberFormat="1" applyFont="1"/>
    <xf numFmtId="0" fontId="73" fillId="0" borderId="0" xfId="1917" applyFont="1" applyAlignment="1">
      <alignment horizontal="center"/>
    </xf>
    <xf numFmtId="0" fontId="48" fillId="0" borderId="0" xfId="0" applyFont="1" applyAlignment="1">
      <alignment horizontal="center"/>
    </xf>
    <xf numFmtId="0" fontId="48" fillId="26" borderId="0" xfId="0" applyFont="1" applyFill="1"/>
    <xf numFmtId="164" fontId="0" fillId="0" borderId="1" xfId="2" applyNumberFormat="1" applyFont="1" applyFill="1" applyBorder="1"/>
    <xf numFmtId="37" fontId="4" fillId="0" borderId="0" xfId="0" applyNumberFormat="1" applyFont="1" applyFill="1" applyBorder="1" applyAlignment="1">
      <alignment horizontal="center"/>
    </xf>
    <xf numFmtId="183" fontId="56" fillId="0" borderId="1" xfId="0" applyNumberFormat="1" applyFont="1" applyFill="1" applyBorder="1" applyAlignment="1">
      <alignment horizontal="center"/>
    </xf>
    <xf numFmtId="183" fontId="56" fillId="0" borderId="1" xfId="0" applyNumberFormat="1" applyFont="1" applyFill="1" applyBorder="1" applyAlignment="1">
      <alignment horizontal="center" wrapText="1"/>
    </xf>
    <xf numFmtId="0" fontId="72" fillId="0" borderId="0" xfId="0" applyFont="1" applyFill="1"/>
    <xf numFmtId="0" fontId="74" fillId="0" borderId="0" xfId="0" applyFont="1"/>
    <xf numFmtId="10" fontId="0" fillId="0" borderId="1" xfId="0" applyNumberFormat="1" applyFont="1" applyFill="1" applyBorder="1"/>
    <xf numFmtId="37" fontId="0" fillId="0" borderId="0" xfId="0" applyNumberFormat="1" applyFont="1" applyFill="1" applyBorder="1"/>
    <xf numFmtId="41" fontId="74" fillId="0" borderId="0" xfId="0" applyNumberFormat="1" applyFont="1" applyFill="1"/>
    <xf numFmtId="164" fontId="0" fillId="0" borderId="1" xfId="0" applyNumberFormat="1" applyFill="1" applyBorder="1"/>
    <xf numFmtId="5" fontId="48" fillId="0" borderId="0" xfId="1" applyNumberFormat="1" applyFont="1" applyFill="1"/>
    <xf numFmtId="0" fontId="48" fillId="0" borderId="0" xfId="0" applyFont="1" applyBorder="1"/>
    <xf numFmtId="0" fontId="66" fillId="0" borderId="1" xfId="0" applyFont="1" applyBorder="1" applyAlignment="1">
      <alignment horizontal="center"/>
    </xf>
    <xf numFmtId="0" fontId="48" fillId="0" borderId="0" xfId="0" applyFont="1" applyAlignment="1">
      <alignment horizontal="center"/>
    </xf>
    <xf numFmtId="7" fontId="0" fillId="0" borderId="0" xfId="0" applyNumberFormat="1" applyFont="1"/>
    <xf numFmtId="43" fontId="0" fillId="0" borderId="0" xfId="0" applyNumberFormat="1" applyBorder="1"/>
    <xf numFmtId="164" fontId="1" fillId="0" borderId="0" xfId="2" applyNumberFormat="1" applyFont="1"/>
    <xf numFmtId="37" fontId="0" fillId="0" borderId="1" xfId="2" applyNumberFormat="1" applyFont="1" applyBorder="1"/>
    <xf numFmtId="0" fontId="0" fillId="0" borderId="0" xfId="0" applyAlignment="1">
      <alignment horizontal="right"/>
    </xf>
    <xf numFmtId="164" fontId="0" fillId="0" borderId="0" xfId="2" applyNumberFormat="1" applyFont="1" applyAlignment="1">
      <alignment horizontal="center"/>
    </xf>
    <xf numFmtId="5" fontId="0" fillId="0" borderId="0" xfId="0" applyNumberFormat="1" applyFont="1" applyFill="1" applyBorder="1"/>
    <xf numFmtId="3" fontId="57" fillId="0" borderId="0" xfId="1896" applyFont="1" applyBorder="1" applyAlignment="1">
      <alignment horizontal="center" wrapText="1"/>
    </xf>
    <xf numFmtId="37" fontId="48" fillId="0" borderId="15" xfId="2" applyNumberFormat="1" applyFont="1" applyBorder="1"/>
    <xf numFmtId="37" fontId="48" fillId="0" borderId="0" xfId="2" applyNumberFormat="1" applyFont="1"/>
    <xf numFmtId="37" fontId="48" fillId="0" borderId="0" xfId="0" applyNumberFormat="1" applyFont="1"/>
    <xf numFmtId="37" fontId="48" fillId="0" borderId="0" xfId="0" applyNumberFormat="1" applyFont="1" applyAlignment="1">
      <alignment horizontal="center"/>
    </xf>
    <xf numFmtId="37" fontId="48" fillId="0" borderId="0" xfId="2" applyNumberFormat="1" applyFont="1" applyBorder="1"/>
    <xf numFmtId="5" fontId="48" fillId="0" borderId="15" xfId="1" applyNumberFormat="1" applyFont="1" applyBorder="1"/>
    <xf numFmtId="164" fontId="0" fillId="0" borderId="0" xfId="0" applyNumberFormat="1" applyFont="1"/>
    <xf numFmtId="0" fontId="48" fillId="0" borderId="0" xfId="0" applyFont="1" applyAlignment="1">
      <alignment horizontal="center"/>
    </xf>
    <xf numFmtId="164" fontId="0" fillId="0" borderId="1" xfId="2" applyNumberFormat="1" applyFont="1" applyBorder="1"/>
    <xf numFmtId="37" fontId="67" fillId="0" borderId="0" xfId="0" applyNumberFormat="1" applyFont="1" applyFill="1"/>
    <xf numFmtId="164" fontId="0" fillId="0" borderId="0" xfId="0" applyNumberFormat="1" applyBorder="1"/>
    <xf numFmtId="0" fontId="69" fillId="0" borderId="0" xfId="0" applyFont="1" applyBorder="1" applyAlignment="1">
      <alignment horizontal="center"/>
    </xf>
    <xf numFmtId="5" fontId="3" fillId="0" borderId="0" xfId="1" applyNumberFormat="1" applyFont="1" applyFill="1" applyBorder="1"/>
    <xf numFmtId="41" fontId="3" fillId="0" borderId="0" xfId="1" applyNumberFormat="1" applyFont="1" applyBorder="1"/>
    <xf numFmtId="0" fontId="75" fillId="0" borderId="0" xfId="0" applyFont="1" applyAlignment="1">
      <alignment horizontal="right"/>
    </xf>
    <xf numFmtId="0" fontId="75" fillId="0" borderId="0" xfId="0" applyFont="1"/>
    <xf numFmtId="164" fontId="75" fillId="0" borderId="0" xfId="2" applyNumberFormat="1" applyFont="1"/>
    <xf numFmtId="41" fontId="76" fillId="0" borderId="0" xfId="0" applyNumberFormat="1" applyFont="1"/>
    <xf numFmtId="178" fontId="75" fillId="0" borderId="0" xfId="0" applyNumberFormat="1" applyFont="1"/>
    <xf numFmtId="10" fontId="0" fillId="0" borderId="0" xfId="0" applyNumberFormat="1"/>
    <xf numFmtId="42" fontId="48" fillId="33" borderId="41" xfId="0" applyNumberFormat="1" applyFont="1" applyFill="1" applyBorder="1" applyAlignment="1">
      <alignment horizontal="center"/>
    </xf>
    <xf numFmtId="5" fontId="0" fillId="34" borderId="0" xfId="0" applyNumberFormat="1" applyFill="1"/>
    <xf numFmtId="10" fontId="0" fillId="0" borderId="0" xfId="1898" applyNumberFormat="1" applyFont="1"/>
    <xf numFmtId="37" fontId="55" fillId="0" borderId="0" xfId="0" applyNumberFormat="1" applyFont="1"/>
    <xf numFmtId="37" fontId="66" fillId="0" borderId="0" xfId="0" applyNumberFormat="1" applyFont="1"/>
    <xf numFmtId="37" fontId="55" fillId="0" borderId="1" xfId="0" applyNumberFormat="1" applyFont="1" applyBorder="1"/>
    <xf numFmtId="5" fontId="55" fillId="0" borderId="0" xfId="0" applyNumberFormat="1" applyFont="1"/>
    <xf numFmtId="0" fontId="48" fillId="0" borderId="37" xfId="0" applyFont="1" applyFill="1" applyBorder="1" applyAlignment="1">
      <alignment horizontal="center"/>
    </xf>
    <xf numFmtId="0" fontId="48" fillId="0" borderId="38" xfId="0" applyFont="1" applyFill="1" applyBorder="1" applyAlignment="1">
      <alignment horizontal="center"/>
    </xf>
    <xf numFmtId="0" fontId="48" fillId="0" borderId="39" xfId="0" applyFont="1" applyFill="1" applyBorder="1" applyAlignment="1">
      <alignment horizontal="center"/>
    </xf>
    <xf numFmtId="0" fontId="48" fillId="33" borderId="38" xfId="0" applyFont="1" applyFill="1" applyBorder="1" applyAlignment="1">
      <alignment horizontal="center"/>
    </xf>
    <xf numFmtId="0" fontId="48" fillId="33" borderId="39" xfId="0" applyFont="1" applyFill="1" applyBorder="1" applyAlignment="1">
      <alignment horizontal="center"/>
    </xf>
    <xf numFmtId="0" fontId="48" fillId="0" borderId="0" xfId="0" applyFont="1" applyAlignment="1">
      <alignment horizontal="center"/>
    </xf>
    <xf numFmtId="49" fontId="48" fillId="0" borderId="0" xfId="0" applyNumberFormat="1" applyFont="1" applyAlignment="1">
      <alignment horizontal="center"/>
    </xf>
    <xf numFmtId="0" fontId="1" fillId="0" borderId="0" xfId="0" applyFont="1" applyAlignment="1">
      <alignment horizontal="left" wrapText="1"/>
    </xf>
    <xf numFmtId="0" fontId="0" fillId="0" borderId="0" xfId="0" applyAlignment="1">
      <alignment horizontal="left"/>
    </xf>
  </cellXfs>
  <cellStyles count="1935">
    <cellStyle name="_Column1" xfId="3"/>
    <cellStyle name="_Column2" xfId="4"/>
    <cellStyle name="_Column3" xfId="5"/>
    <cellStyle name="_Column4" xfId="6"/>
    <cellStyle name="_Column5" xfId="7"/>
    <cellStyle name="_Column6" xfId="8"/>
    <cellStyle name="_Column7" xfId="9"/>
    <cellStyle name="_Data" xfId="10"/>
    <cellStyle name="_Data_Cerberus" xfId="11"/>
    <cellStyle name="_Data_Sheet1" xfId="12"/>
    <cellStyle name="_Data_Sheet1_2013 Plan P&amp;L Line Person Signed YUAN" xfId="13"/>
    <cellStyle name="_Data_Sheet2" xfId="14"/>
    <cellStyle name="_Data_Sheet2_2013 Plan P&amp;L Line Person Signed YUAN" xfId="15"/>
    <cellStyle name="_Header" xfId="16"/>
    <cellStyle name="_MultipleSpace" xfId="17"/>
    <cellStyle name="_Row1" xfId="18"/>
    <cellStyle name="_Row2" xfId="19"/>
    <cellStyle name="_Row3" xfId="20"/>
    <cellStyle name="_Row4" xfId="21"/>
    <cellStyle name="_Row5" xfId="22"/>
    <cellStyle name="_Row6" xfId="23"/>
    <cellStyle name="_Row7" xfId="24"/>
    <cellStyle name="_TableSuperHead" xfId="25"/>
    <cellStyle name="£ BP" xfId="27"/>
    <cellStyle name="¥ JY" xfId="28"/>
    <cellStyle name="=C:\WINNT35\SYSTEM32\COMMAND.COM" xfId="26"/>
    <cellStyle name="20% - Accent1 10" xfId="29"/>
    <cellStyle name="20% - Accent1 11" xfId="30"/>
    <cellStyle name="20% - Accent1 12" xfId="31"/>
    <cellStyle name="20% - Accent1 13" xfId="32"/>
    <cellStyle name="20% - Accent1 14" xfId="33"/>
    <cellStyle name="20% - Accent1 15" xfId="34"/>
    <cellStyle name="20% - Accent1 16" xfId="35"/>
    <cellStyle name="20% - Accent1 17" xfId="36"/>
    <cellStyle name="20% - Accent1 18" xfId="37"/>
    <cellStyle name="20% - Accent1 19" xfId="38"/>
    <cellStyle name="20% - Accent1 2" xfId="39"/>
    <cellStyle name="20% - Accent1 20" xfId="40"/>
    <cellStyle name="20% - Accent1 21" xfId="41"/>
    <cellStyle name="20% - Accent1 22" xfId="42"/>
    <cellStyle name="20% - Accent1 23" xfId="43"/>
    <cellStyle name="20% - Accent1 24" xfId="44"/>
    <cellStyle name="20% - Accent1 25" xfId="45"/>
    <cellStyle name="20% - Accent1 26" xfId="46"/>
    <cellStyle name="20% - Accent1 27" xfId="47"/>
    <cellStyle name="20% - Accent1 28" xfId="48"/>
    <cellStyle name="20% - Accent1 29" xfId="49"/>
    <cellStyle name="20% - Accent1 3" xfId="50"/>
    <cellStyle name="20% - Accent1 30" xfId="51"/>
    <cellStyle name="20% - Accent1 31" xfId="52"/>
    <cellStyle name="20% - Accent1 32" xfId="53"/>
    <cellStyle name="20% - Accent1 33" xfId="54"/>
    <cellStyle name="20% - Accent1 34" xfId="55"/>
    <cellStyle name="20% - Accent1 35" xfId="56"/>
    <cellStyle name="20% - Accent1 36" xfId="57"/>
    <cellStyle name="20% - Accent1 37" xfId="58"/>
    <cellStyle name="20% - Accent1 38" xfId="59"/>
    <cellStyle name="20% - Accent1 39" xfId="60"/>
    <cellStyle name="20% - Accent1 4" xfId="61"/>
    <cellStyle name="20% - Accent1 40" xfId="62"/>
    <cellStyle name="20% - Accent1 5" xfId="63"/>
    <cellStyle name="20% - Accent1 6" xfId="64"/>
    <cellStyle name="20% - Accent1 7" xfId="65"/>
    <cellStyle name="20% - Accent1 8" xfId="66"/>
    <cellStyle name="20% - Accent1 9" xfId="67"/>
    <cellStyle name="20% - Accent2 10" xfId="68"/>
    <cellStyle name="20% - Accent2 11" xfId="69"/>
    <cellStyle name="20% - Accent2 12" xfId="70"/>
    <cellStyle name="20% - Accent2 13" xfId="71"/>
    <cellStyle name="20% - Accent2 14" xfId="72"/>
    <cellStyle name="20% - Accent2 15" xfId="73"/>
    <cellStyle name="20% - Accent2 16" xfId="74"/>
    <cellStyle name="20% - Accent2 17" xfId="75"/>
    <cellStyle name="20% - Accent2 18" xfId="76"/>
    <cellStyle name="20% - Accent2 19" xfId="77"/>
    <cellStyle name="20% - Accent2 2" xfId="78"/>
    <cellStyle name="20% - Accent2 20" xfId="79"/>
    <cellStyle name="20% - Accent2 21" xfId="80"/>
    <cellStyle name="20% - Accent2 22" xfId="81"/>
    <cellStyle name="20% - Accent2 23" xfId="82"/>
    <cellStyle name="20% - Accent2 24" xfId="83"/>
    <cellStyle name="20% - Accent2 25" xfId="84"/>
    <cellStyle name="20% - Accent2 26" xfId="85"/>
    <cellStyle name="20% - Accent2 27" xfId="86"/>
    <cellStyle name="20% - Accent2 28" xfId="87"/>
    <cellStyle name="20% - Accent2 29" xfId="88"/>
    <cellStyle name="20% - Accent2 3" xfId="89"/>
    <cellStyle name="20% - Accent2 30" xfId="90"/>
    <cellStyle name="20% - Accent2 31" xfId="91"/>
    <cellStyle name="20% - Accent2 32" xfId="92"/>
    <cellStyle name="20% - Accent2 33" xfId="93"/>
    <cellStyle name="20% - Accent2 34" xfId="94"/>
    <cellStyle name="20% - Accent2 35" xfId="95"/>
    <cellStyle name="20% - Accent2 36" xfId="96"/>
    <cellStyle name="20% - Accent2 37" xfId="97"/>
    <cellStyle name="20% - Accent2 38" xfId="98"/>
    <cellStyle name="20% - Accent2 39" xfId="99"/>
    <cellStyle name="20% - Accent2 4" xfId="100"/>
    <cellStyle name="20% - Accent2 40" xfId="101"/>
    <cellStyle name="20% - Accent2 5" xfId="102"/>
    <cellStyle name="20% - Accent2 6" xfId="103"/>
    <cellStyle name="20% - Accent2 7" xfId="104"/>
    <cellStyle name="20% - Accent2 8" xfId="105"/>
    <cellStyle name="20% - Accent2 9" xfId="106"/>
    <cellStyle name="20% - Accent3 10" xfId="107"/>
    <cellStyle name="20% - Accent3 11" xfId="108"/>
    <cellStyle name="20% - Accent3 12" xfId="109"/>
    <cellStyle name="20% - Accent3 13" xfId="110"/>
    <cellStyle name="20% - Accent3 14" xfId="111"/>
    <cellStyle name="20% - Accent3 15" xfId="112"/>
    <cellStyle name="20% - Accent3 16" xfId="113"/>
    <cellStyle name="20% - Accent3 17" xfId="114"/>
    <cellStyle name="20% - Accent3 18" xfId="115"/>
    <cellStyle name="20% - Accent3 19" xfId="116"/>
    <cellStyle name="20% - Accent3 2" xfId="117"/>
    <cellStyle name="20% - Accent3 20" xfId="118"/>
    <cellStyle name="20% - Accent3 21" xfId="119"/>
    <cellStyle name="20% - Accent3 22" xfId="120"/>
    <cellStyle name="20% - Accent3 23" xfId="121"/>
    <cellStyle name="20% - Accent3 24" xfId="122"/>
    <cellStyle name="20% - Accent3 25" xfId="123"/>
    <cellStyle name="20% - Accent3 26" xfId="124"/>
    <cellStyle name="20% - Accent3 27" xfId="125"/>
    <cellStyle name="20% - Accent3 28" xfId="126"/>
    <cellStyle name="20% - Accent3 29" xfId="127"/>
    <cellStyle name="20% - Accent3 3" xfId="128"/>
    <cellStyle name="20% - Accent3 30" xfId="129"/>
    <cellStyle name="20% - Accent3 31" xfId="130"/>
    <cellStyle name="20% - Accent3 32" xfId="131"/>
    <cellStyle name="20% - Accent3 33" xfId="132"/>
    <cellStyle name="20% - Accent3 34" xfId="133"/>
    <cellStyle name="20% - Accent3 35" xfId="134"/>
    <cellStyle name="20% - Accent3 36" xfId="135"/>
    <cellStyle name="20% - Accent3 37" xfId="136"/>
    <cellStyle name="20% - Accent3 38" xfId="137"/>
    <cellStyle name="20% - Accent3 39" xfId="138"/>
    <cellStyle name="20% - Accent3 4" xfId="139"/>
    <cellStyle name="20% - Accent3 40" xfId="140"/>
    <cellStyle name="20% - Accent3 5" xfId="141"/>
    <cellStyle name="20% - Accent3 6" xfId="142"/>
    <cellStyle name="20% - Accent3 7" xfId="143"/>
    <cellStyle name="20% - Accent3 8" xfId="144"/>
    <cellStyle name="20% - Accent3 9" xfId="145"/>
    <cellStyle name="20% - Accent4 10" xfId="146"/>
    <cellStyle name="20% - Accent4 11" xfId="147"/>
    <cellStyle name="20% - Accent4 12" xfId="148"/>
    <cellStyle name="20% - Accent4 13" xfId="149"/>
    <cellStyle name="20% - Accent4 14" xfId="150"/>
    <cellStyle name="20% - Accent4 15" xfId="151"/>
    <cellStyle name="20% - Accent4 16" xfId="152"/>
    <cellStyle name="20% - Accent4 17" xfId="153"/>
    <cellStyle name="20% - Accent4 18" xfId="154"/>
    <cellStyle name="20% - Accent4 19" xfId="155"/>
    <cellStyle name="20% - Accent4 2" xfId="156"/>
    <cellStyle name="20% - Accent4 20" xfId="157"/>
    <cellStyle name="20% - Accent4 21" xfId="158"/>
    <cellStyle name="20% - Accent4 22" xfId="159"/>
    <cellStyle name="20% - Accent4 23" xfId="160"/>
    <cellStyle name="20% - Accent4 24" xfId="161"/>
    <cellStyle name="20% - Accent4 25" xfId="162"/>
    <cellStyle name="20% - Accent4 26" xfId="163"/>
    <cellStyle name="20% - Accent4 27" xfId="164"/>
    <cellStyle name="20% - Accent4 28" xfId="165"/>
    <cellStyle name="20% - Accent4 29" xfId="166"/>
    <cellStyle name="20% - Accent4 3" xfId="167"/>
    <cellStyle name="20% - Accent4 30" xfId="168"/>
    <cellStyle name="20% - Accent4 31" xfId="169"/>
    <cellStyle name="20% - Accent4 32" xfId="170"/>
    <cellStyle name="20% - Accent4 33" xfId="171"/>
    <cellStyle name="20% - Accent4 34" xfId="172"/>
    <cellStyle name="20% - Accent4 35" xfId="173"/>
    <cellStyle name="20% - Accent4 36" xfId="174"/>
    <cellStyle name="20% - Accent4 37" xfId="175"/>
    <cellStyle name="20% - Accent4 38" xfId="176"/>
    <cellStyle name="20% - Accent4 39" xfId="177"/>
    <cellStyle name="20% - Accent4 4" xfId="178"/>
    <cellStyle name="20% - Accent4 40" xfId="179"/>
    <cellStyle name="20% - Accent4 5" xfId="180"/>
    <cellStyle name="20% - Accent4 6" xfId="181"/>
    <cellStyle name="20% - Accent4 7" xfId="182"/>
    <cellStyle name="20% - Accent4 8" xfId="183"/>
    <cellStyle name="20% - Accent4 9" xfId="184"/>
    <cellStyle name="20% - Accent5 10" xfId="185"/>
    <cellStyle name="20% - Accent5 11" xfId="186"/>
    <cellStyle name="20% - Accent5 12" xfId="187"/>
    <cellStyle name="20% - Accent5 13" xfId="188"/>
    <cellStyle name="20% - Accent5 14" xfId="189"/>
    <cellStyle name="20% - Accent5 15" xfId="190"/>
    <cellStyle name="20% - Accent5 16" xfId="191"/>
    <cellStyle name="20% - Accent5 17" xfId="192"/>
    <cellStyle name="20% - Accent5 18" xfId="193"/>
    <cellStyle name="20% - Accent5 19" xfId="194"/>
    <cellStyle name="20% - Accent5 2" xfId="195"/>
    <cellStyle name="20% - Accent5 20" xfId="196"/>
    <cellStyle name="20% - Accent5 21" xfId="197"/>
    <cellStyle name="20% - Accent5 22" xfId="198"/>
    <cellStyle name="20% - Accent5 23" xfId="199"/>
    <cellStyle name="20% - Accent5 24" xfId="200"/>
    <cellStyle name="20% - Accent5 25" xfId="201"/>
    <cellStyle name="20% - Accent5 26" xfId="202"/>
    <cellStyle name="20% - Accent5 27" xfId="203"/>
    <cellStyle name="20% - Accent5 28" xfId="204"/>
    <cellStyle name="20% - Accent5 29" xfId="205"/>
    <cellStyle name="20% - Accent5 3" xfId="206"/>
    <cellStyle name="20% - Accent5 30" xfId="207"/>
    <cellStyle name="20% - Accent5 31" xfId="208"/>
    <cellStyle name="20% - Accent5 32" xfId="209"/>
    <cellStyle name="20% - Accent5 33" xfId="210"/>
    <cellStyle name="20% - Accent5 34" xfId="211"/>
    <cellStyle name="20% - Accent5 35" xfId="212"/>
    <cellStyle name="20% - Accent5 36" xfId="213"/>
    <cellStyle name="20% - Accent5 37" xfId="214"/>
    <cellStyle name="20% - Accent5 38" xfId="215"/>
    <cellStyle name="20% - Accent5 39" xfId="216"/>
    <cellStyle name="20% - Accent5 4" xfId="217"/>
    <cellStyle name="20% - Accent5 40" xfId="218"/>
    <cellStyle name="20% - Accent5 5" xfId="219"/>
    <cellStyle name="20% - Accent5 6" xfId="220"/>
    <cellStyle name="20% - Accent5 7" xfId="221"/>
    <cellStyle name="20% - Accent5 8" xfId="222"/>
    <cellStyle name="20% - Accent5 9" xfId="223"/>
    <cellStyle name="20% - Accent6 10" xfId="224"/>
    <cellStyle name="20% - Accent6 11" xfId="225"/>
    <cellStyle name="20% - Accent6 12" xfId="226"/>
    <cellStyle name="20% - Accent6 13" xfId="227"/>
    <cellStyle name="20% - Accent6 14" xfId="228"/>
    <cellStyle name="20% - Accent6 15" xfId="229"/>
    <cellStyle name="20% - Accent6 16" xfId="230"/>
    <cellStyle name="20% - Accent6 17" xfId="231"/>
    <cellStyle name="20% - Accent6 18" xfId="232"/>
    <cellStyle name="20% - Accent6 19" xfId="233"/>
    <cellStyle name="20% - Accent6 2" xfId="234"/>
    <cellStyle name="20% - Accent6 20" xfId="235"/>
    <cellStyle name="20% - Accent6 21" xfId="236"/>
    <cellStyle name="20% - Accent6 22" xfId="237"/>
    <cellStyle name="20% - Accent6 23" xfId="238"/>
    <cellStyle name="20% - Accent6 24" xfId="239"/>
    <cellStyle name="20% - Accent6 25" xfId="240"/>
    <cellStyle name="20% - Accent6 26" xfId="241"/>
    <cellStyle name="20% - Accent6 27" xfId="242"/>
    <cellStyle name="20% - Accent6 28" xfId="243"/>
    <cellStyle name="20% - Accent6 29" xfId="244"/>
    <cellStyle name="20% - Accent6 3" xfId="245"/>
    <cellStyle name="20% - Accent6 30" xfId="246"/>
    <cellStyle name="20% - Accent6 31" xfId="247"/>
    <cellStyle name="20% - Accent6 32" xfId="248"/>
    <cellStyle name="20% - Accent6 33" xfId="249"/>
    <cellStyle name="20% - Accent6 34" xfId="250"/>
    <cellStyle name="20% - Accent6 35" xfId="251"/>
    <cellStyle name="20% - Accent6 36" xfId="252"/>
    <cellStyle name="20% - Accent6 37" xfId="253"/>
    <cellStyle name="20% - Accent6 38" xfId="254"/>
    <cellStyle name="20% - Accent6 39" xfId="255"/>
    <cellStyle name="20% - Accent6 4" xfId="256"/>
    <cellStyle name="20% - Accent6 40" xfId="257"/>
    <cellStyle name="20% - Accent6 5" xfId="258"/>
    <cellStyle name="20% - Accent6 6" xfId="259"/>
    <cellStyle name="20% - Accent6 7" xfId="260"/>
    <cellStyle name="20% - Accent6 8" xfId="261"/>
    <cellStyle name="20% - Accent6 9" xfId="262"/>
    <cellStyle name="40% - Accent1 10" xfId="263"/>
    <cellStyle name="40% - Accent1 11" xfId="264"/>
    <cellStyle name="40% - Accent1 12" xfId="265"/>
    <cellStyle name="40% - Accent1 13" xfId="266"/>
    <cellStyle name="40% - Accent1 14" xfId="267"/>
    <cellStyle name="40% - Accent1 15" xfId="268"/>
    <cellStyle name="40% - Accent1 16" xfId="269"/>
    <cellStyle name="40% - Accent1 17" xfId="270"/>
    <cellStyle name="40% - Accent1 18" xfId="271"/>
    <cellStyle name="40% - Accent1 19" xfId="272"/>
    <cellStyle name="40% - Accent1 2" xfId="273"/>
    <cellStyle name="40% - Accent1 20" xfId="274"/>
    <cellStyle name="40% - Accent1 21" xfId="275"/>
    <cellStyle name="40% - Accent1 22" xfId="276"/>
    <cellStyle name="40% - Accent1 23" xfId="277"/>
    <cellStyle name="40% - Accent1 24" xfId="278"/>
    <cellStyle name="40% - Accent1 25" xfId="279"/>
    <cellStyle name="40% - Accent1 26" xfId="280"/>
    <cellStyle name="40% - Accent1 27" xfId="281"/>
    <cellStyle name="40% - Accent1 28" xfId="282"/>
    <cellStyle name="40% - Accent1 29" xfId="283"/>
    <cellStyle name="40% - Accent1 3" xfId="284"/>
    <cellStyle name="40% - Accent1 30" xfId="285"/>
    <cellStyle name="40% - Accent1 31" xfId="286"/>
    <cellStyle name="40% - Accent1 32" xfId="287"/>
    <cellStyle name="40% - Accent1 33" xfId="288"/>
    <cellStyle name="40% - Accent1 34" xfId="289"/>
    <cellStyle name="40% - Accent1 35" xfId="290"/>
    <cellStyle name="40% - Accent1 36" xfId="291"/>
    <cellStyle name="40% - Accent1 37" xfId="292"/>
    <cellStyle name="40% - Accent1 38" xfId="293"/>
    <cellStyle name="40% - Accent1 39" xfId="294"/>
    <cellStyle name="40% - Accent1 4" xfId="295"/>
    <cellStyle name="40% - Accent1 40" xfId="296"/>
    <cellStyle name="40% - Accent1 5" xfId="297"/>
    <cellStyle name="40% - Accent1 6" xfId="298"/>
    <cellStyle name="40% - Accent1 7" xfId="299"/>
    <cellStyle name="40% - Accent1 8" xfId="300"/>
    <cellStyle name="40% - Accent1 9" xfId="301"/>
    <cellStyle name="40% - Accent2 10" xfId="302"/>
    <cellStyle name="40% - Accent2 11" xfId="303"/>
    <cellStyle name="40% - Accent2 12" xfId="304"/>
    <cellStyle name="40% - Accent2 13" xfId="305"/>
    <cellStyle name="40% - Accent2 14" xfId="306"/>
    <cellStyle name="40% - Accent2 15" xfId="307"/>
    <cellStyle name="40% - Accent2 16" xfId="308"/>
    <cellStyle name="40% - Accent2 17" xfId="309"/>
    <cellStyle name="40% - Accent2 18" xfId="310"/>
    <cellStyle name="40% - Accent2 19" xfId="311"/>
    <cellStyle name="40% - Accent2 2" xfId="312"/>
    <cellStyle name="40% - Accent2 20" xfId="313"/>
    <cellStyle name="40% - Accent2 21" xfId="314"/>
    <cellStyle name="40% - Accent2 22" xfId="315"/>
    <cellStyle name="40% - Accent2 23" xfId="316"/>
    <cellStyle name="40% - Accent2 24" xfId="317"/>
    <cellStyle name="40% - Accent2 25" xfId="318"/>
    <cellStyle name="40% - Accent2 26" xfId="319"/>
    <cellStyle name="40% - Accent2 27" xfId="320"/>
    <cellStyle name="40% - Accent2 28" xfId="321"/>
    <cellStyle name="40% - Accent2 29" xfId="322"/>
    <cellStyle name="40% - Accent2 3" xfId="323"/>
    <cellStyle name="40% - Accent2 30" xfId="324"/>
    <cellStyle name="40% - Accent2 31" xfId="325"/>
    <cellStyle name="40% - Accent2 32" xfId="326"/>
    <cellStyle name="40% - Accent2 33" xfId="327"/>
    <cellStyle name="40% - Accent2 34" xfId="328"/>
    <cellStyle name="40% - Accent2 35" xfId="329"/>
    <cellStyle name="40% - Accent2 36" xfId="330"/>
    <cellStyle name="40% - Accent2 37" xfId="331"/>
    <cellStyle name="40% - Accent2 38" xfId="332"/>
    <cellStyle name="40% - Accent2 39" xfId="333"/>
    <cellStyle name="40% - Accent2 4" xfId="334"/>
    <cellStyle name="40% - Accent2 40" xfId="335"/>
    <cellStyle name="40% - Accent2 5" xfId="336"/>
    <cellStyle name="40% - Accent2 6" xfId="337"/>
    <cellStyle name="40% - Accent2 7" xfId="338"/>
    <cellStyle name="40% - Accent2 8" xfId="339"/>
    <cellStyle name="40% - Accent2 9" xfId="340"/>
    <cellStyle name="40% - Accent3 10" xfId="341"/>
    <cellStyle name="40% - Accent3 11" xfId="342"/>
    <cellStyle name="40% - Accent3 12" xfId="343"/>
    <cellStyle name="40% - Accent3 13" xfId="344"/>
    <cellStyle name="40% - Accent3 14" xfId="345"/>
    <cellStyle name="40% - Accent3 15" xfId="346"/>
    <cellStyle name="40% - Accent3 16" xfId="347"/>
    <cellStyle name="40% - Accent3 17" xfId="348"/>
    <cellStyle name="40% - Accent3 18" xfId="349"/>
    <cellStyle name="40% - Accent3 19" xfId="350"/>
    <cellStyle name="40% - Accent3 2" xfId="351"/>
    <cellStyle name="40% - Accent3 20" xfId="352"/>
    <cellStyle name="40% - Accent3 21" xfId="353"/>
    <cellStyle name="40% - Accent3 22" xfId="354"/>
    <cellStyle name="40% - Accent3 23" xfId="355"/>
    <cellStyle name="40% - Accent3 24" xfId="356"/>
    <cellStyle name="40% - Accent3 25" xfId="357"/>
    <cellStyle name="40% - Accent3 26" xfId="358"/>
    <cellStyle name="40% - Accent3 27" xfId="359"/>
    <cellStyle name="40% - Accent3 28" xfId="360"/>
    <cellStyle name="40% - Accent3 29" xfId="361"/>
    <cellStyle name="40% - Accent3 3" xfId="362"/>
    <cellStyle name="40% - Accent3 30" xfId="363"/>
    <cellStyle name="40% - Accent3 31" xfId="364"/>
    <cellStyle name="40% - Accent3 32" xfId="365"/>
    <cellStyle name="40% - Accent3 33" xfId="366"/>
    <cellStyle name="40% - Accent3 34" xfId="367"/>
    <cellStyle name="40% - Accent3 35" xfId="368"/>
    <cellStyle name="40% - Accent3 36" xfId="369"/>
    <cellStyle name="40% - Accent3 37" xfId="370"/>
    <cellStyle name="40% - Accent3 38" xfId="371"/>
    <cellStyle name="40% - Accent3 39" xfId="372"/>
    <cellStyle name="40% - Accent3 4" xfId="373"/>
    <cellStyle name="40% - Accent3 40" xfId="374"/>
    <cellStyle name="40% - Accent3 5" xfId="375"/>
    <cellStyle name="40% - Accent3 6" xfId="376"/>
    <cellStyle name="40% - Accent3 7" xfId="377"/>
    <cellStyle name="40% - Accent3 8" xfId="378"/>
    <cellStyle name="40% - Accent3 9" xfId="379"/>
    <cellStyle name="40% - Accent4 10" xfId="380"/>
    <cellStyle name="40% - Accent4 11" xfId="381"/>
    <cellStyle name="40% - Accent4 12" xfId="382"/>
    <cellStyle name="40% - Accent4 13" xfId="383"/>
    <cellStyle name="40% - Accent4 14" xfId="384"/>
    <cellStyle name="40% - Accent4 15" xfId="385"/>
    <cellStyle name="40% - Accent4 16" xfId="386"/>
    <cellStyle name="40% - Accent4 17" xfId="387"/>
    <cellStyle name="40% - Accent4 18" xfId="388"/>
    <cellStyle name="40% - Accent4 19" xfId="389"/>
    <cellStyle name="40% - Accent4 2" xfId="390"/>
    <cellStyle name="40% - Accent4 20" xfId="391"/>
    <cellStyle name="40% - Accent4 21" xfId="392"/>
    <cellStyle name="40% - Accent4 22" xfId="393"/>
    <cellStyle name="40% - Accent4 23" xfId="394"/>
    <cellStyle name="40% - Accent4 24" xfId="395"/>
    <cellStyle name="40% - Accent4 25" xfId="396"/>
    <cellStyle name="40% - Accent4 26" xfId="397"/>
    <cellStyle name="40% - Accent4 27" xfId="398"/>
    <cellStyle name="40% - Accent4 28" xfId="399"/>
    <cellStyle name="40% - Accent4 29" xfId="400"/>
    <cellStyle name="40% - Accent4 3" xfId="401"/>
    <cellStyle name="40% - Accent4 30" xfId="402"/>
    <cellStyle name="40% - Accent4 31" xfId="403"/>
    <cellStyle name="40% - Accent4 32" xfId="404"/>
    <cellStyle name="40% - Accent4 33" xfId="405"/>
    <cellStyle name="40% - Accent4 34" xfId="406"/>
    <cellStyle name="40% - Accent4 35" xfId="407"/>
    <cellStyle name="40% - Accent4 36" xfId="408"/>
    <cellStyle name="40% - Accent4 37" xfId="409"/>
    <cellStyle name="40% - Accent4 38" xfId="410"/>
    <cellStyle name="40% - Accent4 39" xfId="411"/>
    <cellStyle name="40% - Accent4 4" xfId="412"/>
    <cellStyle name="40% - Accent4 40" xfId="413"/>
    <cellStyle name="40% - Accent4 5" xfId="414"/>
    <cellStyle name="40% - Accent4 6" xfId="415"/>
    <cellStyle name="40% - Accent4 7" xfId="416"/>
    <cellStyle name="40% - Accent4 8" xfId="417"/>
    <cellStyle name="40% - Accent4 9" xfId="418"/>
    <cellStyle name="40% - Accent5 10" xfId="419"/>
    <cellStyle name="40% - Accent5 11" xfId="420"/>
    <cellStyle name="40% - Accent5 12" xfId="421"/>
    <cellStyle name="40% - Accent5 13" xfId="422"/>
    <cellStyle name="40% - Accent5 14" xfId="423"/>
    <cellStyle name="40% - Accent5 15" xfId="424"/>
    <cellStyle name="40% - Accent5 16" xfId="425"/>
    <cellStyle name="40% - Accent5 17" xfId="426"/>
    <cellStyle name="40% - Accent5 18" xfId="427"/>
    <cellStyle name="40% - Accent5 19" xfId="428"/>
    <cellStyle name="40% - Accent5 2" xfId="429"/>
    <cellStyle name="40% - Accent5 20" xfId="430"/>
    <cellStyle name="40% - Accent5 21" xfId="431"/>
    <cellStyle name="40% - Accent5 22" xfId="432"/>
    <cellStyle name="40% - Accent5 23" xfId="433"/>
    <cellStyle name="40% - Accent5 24" xfId="434"/>
    <cellStyle name="40% - Accent5 25" xfId="435"/>
    <cellStyle name="40% - Accent5 26" xfId="436"/>
    <cellStyle name="40% - Accent5 27" xfId="437"/>
    <cellStyle name="40% - Accent5 28" xfId="438"/>
    <cellStyle name="40% - Accent5 29" xfId="439"/>
    <cellStyle name="40% - Accent5 3" xfId="440"/>
    <cellStyle name="40% - Accent5 30" xfId="441"/>
    <cellStyle name="40% - Accent5 31" xfId="442"/>
    <cellStyle name="40% - Accent5 32" xfId="443"/>
    <cellStyle name="40% - Accent5 33" xfId="444"/>
    <cellStyle name="40% - Accent5 34" xfId="445"/>
    <cellStyle name="40% - Accent5 35" xfId="446"/>
    <cellStyle name="40% - Accent5 36" xfId="447"/>
    <cellStyle name="40% - Accent5 37" xfId="448"/>
    <cellStyle name="40% - Accent5 38" xfId="449"/>
    <cellStyle name="40% - Accent5 39" xfId="450"/>
    <cellStyle name="40% - Accent5 4" xfId="451"/>
    <cellStyle name="40% - Accent5 40" xfId="452"/>
    <cellStyle name="40% - Accent5 5" xfId="453"/>
    <cellStyle name="40% - Accent5 6" xfId="454"/>
    <cellStyle name="40% - Accent5 7" xfId="455"/>
    <cellStyle name="40% - Accent5 8" xfId="456"/>
    <cellStyle name="40% - Accent5 9" xfId="457"/>
    <cellStyle name="40% - Accent6 10" xfId="458"/>
    <cellStyle name="40% - Accent6 11" xfId="459"/>
    <cellStyle name="40% - Accent6 12" xfId="460"/>
    <cellStyle name="40% - Accent6 13" xfId="461"/>
    <cellStyle name="40% - Accent6 14" xfId="462"/>
    <cellStyle name="40% - Accent6 15" xfId="463"/>
    <cellStyle name="40% - Accent6 16" xfId="464"/>
    <cellStyle name="40% - Accent6 17" xfId="465"/>
    <cellStyle name="40% - Accent6 18" xfId="466"/>
    <cellStyle name="40% - Accent6 19" xfId="467"/>
    <cellStyle name="40% - Accent6 2" xfId="468"/>
    <cellStyle name="40% - Accent6 20" xfId="469"/>
    <cellStyle name="40% - Accent6 21" xfId="470"/>
    <cellStyle name="40% - Accent6 22" xfId="471"/>
    <cellStyle name="40% - Accent6 23" xfId="472"/>
    <cellStyle name="40% - Accent6 24" xfId="473"/>
    <cellStyle name="40% - Accent6 25" xfId="474"/>
    <cellStyle name="40% - Accent6 26" xfId="475"/>
    <cellStyle name="40% - Accent6 27" xfId="476"/>
    <cellStyle name="40% - Accent6 28" xfId="477"/>
    <cellStyle name="40% - Accent6 29" xfId="478"/>
    <cellStyle name="40% - Accent6 3" xfId="479"/>
    <cellStyle name="40% - Accent6 30" xfId="480"/>
    <cellStyle name="40% - Accent6 31" xfId="481"/>
    <cellStyle name="40% - Accent6 32" xfId="482"/>
    <cellStyle name="40% - Accent6 33" xfId="483"/>
    <cellStyle name="40% - Accent6 34" xfId="484"/>
    <cellStyle name="40% - Accent6 35" xfId="485"/>
    <cellStyle name="40% - Accent6 36" xfId="486"/>
    <cellStyle name="40% - Accent6 37" xfId="487"/>
    <cellStyle name="40% - Accent6 38" xfId="488"/>
    <cellStyle name="40% - Accent6 39" xfId="489"/>
    <cellStyle name="40% - Accent6 4" xfId="490"/>
    <cellStyle name="40% - Accent6 40" xfId="491"/>
    <cellStyle name="40% - Accent6 5" xfId="492"/>
    <cellStyle name="40% - Accent6 6" xfId="493"/>
    <cellStyle name="40% - Accent6 7" xfId="494"/>
    <cellStyle name="40% - Accent6 8" xfId="495"/>
    <cellStyle name="40% - Accent6 9" xfId="496"/>
    <cellStyle name="60% - Accent1 10" xfId="497"/>
    <cellStyle name="60% - Accent1 11" xfId="498"/>
    <cellStyle name="60% - Accent1 12" xfId="499"/>
    <cellStyle name="60% - Accent1 13" xfId="500"/>
    <cellStyle name="60% - Accent1 14" xfId="501"/>
    <cellStyle name="60% - Accent1 15" xfId="502"/>
    <cellStyle name="60% - Accent1 16" xfId="503"/>
    <cellStyle name="60% - Accent1 17" xfId="504"/>
    <cellStyle name="60% - Accent1 18" xfId="505"/>
    <cellStyle name="60% - Accent1 19" xfId="506"/>
    <cellStyle name="60% - Accent1 2" xfId="507"/>
    <cellStyle name="60% - Accent1 20" xfId="508"/>
    <cellStyle name="60% - Accent1 21" xfId="509"/>
    <cellStyle name="60% - Accent1 22" xfId="510"/>
    <cellStyle name="60% - Accent1 23" xfId="511"/>
    <cellStyle name="60% - Accent1 24" xfId="512"/>
    <cellStyle name="60% - Accent1 25" xfId="513"/>
    <cellStyle name="60% - Accent1 26" xfId="514"/>
    <cellStyle name="60% - Accent1 27" xfId="515"/>
    <cellStyle name="60% - Accent1 28" xfId="516"/>
    <cellStyle name="60% - Accent1 29" xfId="517"/>
    <cellStyle name="60% - Accent1 3" xfId="518"/>
    <cellStyle name="60% - Accent1 30" xfId="519"/>
    <cellStyle name="60% - Accent1 31" xfId="520"/>
    <cellStyle name="60% - Accent1 32" xfId="521"/>
    <cellStyle name="60% - Accent1 33" xfId="522"/>
    <cellStyle name="60% - Accent1 34" xfId="523"/>
    <cellStyle name="60% - Accent1 35" xfId="524"/>
    <cellStyle name="60% - Accent1 36" xfId="525"/>
    <cellStyle name="60% - Accent1 37" xfId="526"/>
    <cellStyle name="60% - Accent1 38" xfId="527"/>
    <cellStyle name="60% - Accent1 39" xfId="528"/>
    <cellStyle name="60% - Accent1 4" xfId="529"/>
    <cellStyle name="60% - Accent1 40" xfId="530"/>
    <cellStyle name="60% - Accent1 5" xfId="531"/>
    <cellStyle name="60% - Accent1 6" xfId="532"/>
    <cellStyle name="60% - Accent1 7" xfId="533"/>
    <cellStyle name="60% - Accent1 8" xfId="534"/>
    <cellStyle name="60% - Accent1 9" xfId="535"/>
    <cellStyle name="60% - Accent2 10" xfId="536"/>
    <cellStyle name="60% - Accent2 11" xfId="537"/>
    <cellStyle name="60% - Accent2 12" xfId="538"/>
    <cellStyle name="60% - Accent2 13" xfId="539"/>
    <cellStyle name="60% - Accent2 14" xfId="540"/>
    <cellStyle name="60% - Accent2 15" xfId="541"/>
    <cellStyle name="60% - Accent2 16" xfId="542"/>
    <cellStyle name="60% - Accent2 17" xfId="543"/>
    <cellStyle name="60% - Accent2 18" xfId="544"/>
    <cellStyle name="60% - Accent2 19" xfId="545"/>
    <cellStyle name="60% - Accent2 2" xfId="546"/>
    <cellStyle name="60% - Accent2 20" xfId="547"/>
    <cellStyle name="60% - Accent2 21" xfId="548"/>
    <cellStyle name="60% - Accent2 22" xfId="549"/>
    <cellStyle name="60% - Accent2 23" xfId="550"/>
    <cellStyle name="60% - Accent2 24" xfId="551"/>
    <cellStyle name="60% - Accent2 25" xfId="552"/>
    <cellStyle name="60% - Accent2 26" xfId="553"/>
    <cellStyle name="60% - Accent2 27" xfId="554"/>
    <cellStyle name="60% - Accent2 28" xfId="555"/>
    <cellStyle name="60% - Accent2 29" xfId="556"/>
    <cellStyle name="60% - Accent2 3" xfId="557"/>
    <cellStyle name="60% - Accent2 30" xfId="558"/>
    <cellStyle name="60% - Accent2 31" xfId="559"/>
    <cellStyle name="60% - Accent2 32" xfId="560"/>
    <cellStyle name="60% - Accent2 33" xfId="561"/>
    <cellStyle name="60% - Accent2 34" xfId="562"/>
    <cellStyle name="60% - Accent2 35" xfId="563"/>
    <cellStyle name="60% - Accent2 36" xfId="564"/>
    <cellStyle name="60% - Accent2 37" xfId="565"/>
    <cellStyle name="60% - Accent2 38" xfId="566"/>
    <cellStyle name="60% - Accent2 39" xfId="567"/>
    <cellStyle name="60% - Accent2 4" xfId="568"/>
    <cellStyle name="60% - Accent2 40" xfId="569"/>
    <cellStyle name="60% - Accent2 5" xfId="570"/>
    <cellStyle name="60% - Accent2 6" xfId="571"/>
    <cellStyle name="60% - Accent2 7" xfId="572"/>
    <cellStyle name="60% - Accent2 8" xfId="573"/>
    <cellStyle name="60% - Accent2 9" xfId="574"/>
    <cellStyle name="60% - Accent3 10" xfId="575"/>
    <cellStyle name="60% - Accent3 11" xfId="576"/>
    <cellStyle name="60% - Accent3 12" xfId="577"/>
    <cellStyle name="60% - Accent3 13" xfId="578"/>
    <cellStyle name="60% - Accent3 14" xfId="579"/>
    <cellStyle name="60% - Accent3 15" xfId="580"/>
    <cellStyle name="60% - Accent3 16" xfId="581"/>
    <cellStyle name="60% - Accent3 17" xfId="582"/>
    <cellStyle name="60% - Accent3 18" xfId="583"/>
    <cellStyle name="60% - Accent3 19" xfId="584"/>
    <cellStyle name="60% - Accent3 2" xfId="585"/>
    <cellStyle name="60% - Accent3 20" xfId="586"/>
    <cellStyle name="60% - Accent3 21" xfId="587"/>
    <cellStyle name="60% - Accent3 22" xfId="588"/>
    <cellStyle name="60% - Accent3 23" xfId="589"/>
    <cellStyle name="60% - Accent3 24" xfId="590"/>
    <cellStyle name="60% - Accent3 25" xfId="591"/>
    <cellStyle name="60% - Accent3 26" xfId="592"/>
    <cellStyle name="60% - Accent3 27" xfId="593"/>
    <cellStyle name="60% - Accent3 28" xfId="594"/>
    <cellStyle name="60% - Accent3 29" xfId="595"/>
    <cellStyle name="60% - Accent3 3" xfId="596"/>
    <cellStyle name="60% - Accent3 30" xfId="597"/>
    <cellStyle name="60% - Accent3 31" xfId="598"/>
    <cellStyle name="60% - Accent3 32" xfId="599"/>
    <cellStyle name="60% - Accent3 33" xfId="600"/>
    <cellStyle name="60% - Accent3 34" xfId="601"/>
    <cellStyle name="60% - Accent3 35" xfId="602"/>
    <cellStyle name="60% - Accent3 36" xfId="603"/>
    <cellStyle name="60% - Accent3 37" xfId="604"/>
    <cellStyle name="60% - Accent3 38" xfId="605"/>
    <cellStyle name="60% - Accent3 39" xfId="606"/>
    <cellStyle name="60% - Accent3 4" xfId="607"/>
    <cellStyle name="60% - Accent3 40" xfId="608"/>
    <cellStyle name="60% - Accent3 5" xfId="609"/>
    <cellStyle name="60% - Accent3 6" xfId="610"/>
    <cellStyle name="60% - Accent3 7" xfId="611"/>
    <cellStyle name="60% - Accent3 8" xfId="612"/>
    <cellStyle name="60% - Accent3 9" xfId="613"/>
    <cellStyle name="60% - Accent4 10" xfId="614"/>
    <cellStyle name="60% - Accent4 11" xfId="615"/>
    <cellStyle name="60% - Accent4 12" xfId="616"/>
    <cellStyle name="60% - Accent4 13" xfId="617"/>
    <cellStyle name="60% - Accent4 14" xfId="618"/>
    <cellStyle name="60% - Accent4 15" xfId="619"/>
    <cellStyle name="60% - Accent4 16" xfId="620"/>
    <cellStyle name="60% - Accent4 17" xfId="621"/>
    <cellStyle name="60% - Accent4 18" xfId="622"/>
    <cellStyle name="60% - Accent4 19" xfId="623"/>
    <cellStyle name="60% - Accent4 2" xfId="624"/>
    <cellStyle name="60% - Accent4 20" xfId="625"/>
    <cellStyle name="60% - Accent4 21" xfId="626"/>
    <cellStyle name="60% - Accent4 22" xfId="627"/>
    <cellStyle name="60% - Accent4 23" xfId="628"/>
    <cellStyle name="60% - Accent4 24" xfId="629"/>
    <cellStyle name="60% - Accent4 25" xfId="630"/>
    <cellStyle name="60% - Accent4 26" xfId="631"/>
    <cellStyle name="60% - Accent4 27" xfId="632"/>
    <cellStyle name="60% - Accent4 28" xfId="633"/>
    <cellStyle name="60% - Accent4 29" xfId="634"/>
    <cellStyle name="60% - Accent4 3" xfId="635"/>
    <cellStyle name="60% - Accent4 30" xfId="636"/>
    <cellStyle name="60% - Accent4 31" xfId="637"/>
    <cellStyle name="60% - Accent4 32" xfId="638"/>
    <cellStyle name="60% - Accent4 33" xfId="639"/>
    <cellStyle name="60% - Accent4 34" xfId="640"/>
    <cellStyle name="60% - Accent4 35" xfId="641"/>
    <cellStyle name="60% - Accent4 36" xfId="642"/>
    <cellStyle name="60% - Accent4 37" xfId="643"/>
    <cellStyle name="60% - Accent4 38" xfId="644"/>
    <cellStyle name="60% - Accent4 39" xfId="645"/>
    <cellStyle name="60% - Accent4 4" xfId="646"/>
    <cellStyle name="60% - Accent4 40" xfId="647"/>
    <cellStyle name="60% - Accent4 5" xfId="648"/>
    <cellStyle name="60% - Accent4 6" xfId="649"/>
    <cellStyle name="60% - Accent4 7" xfId="650"/>
    <cellStyle name="60% - Accent4 8" xfId="651"/>
    <cellStyle name="60% - Accent4 9" xfId="652"/>
    <cellStyle name="60% - Accent5 10" xfId="653"/>
    <cellStyle name="60% - Accent5 11" xfId="654"/>
    <cellStyle name="60% - Accent5 12" xfId="655"/>
    <cellStyle name="60% - Accent5 13" xfId="656"/>
    <cellStyle name="60% - Accent5 14" xfId="657"/>
    <cellStyle name="60% - Accent5 15" xfId="658"/>
    <cellStyle name="60% - Accent5 16" xfId="659"/>
    <cellStyle name="60% - Accent5 17" xfId="660"/>
    <cellStyle name="60% - Accent5 18" xfId="661"/>
    <cellStyle name="60% - Accent5 19" xfId="662"/>
    <cellStyle name="60% - Accent5 2" xfId="663"/>
    <cellStyle name="60% - Accent5 20" xfId="664"/>
    <cellStyle name="60% - Accent5 21" xfId="665"/>
    <cellStyle name="60% - Accent5 22" xfId="666"/>
    <cellStyle name="60% - Accent5 23" xfId="667"/>
    <cellStyle name="60% - Accent5 24" xfId="668"/>
    <cellStyle name="60% - Accent5 25" xfId="669"/>
    <cellStyle name="60% - Accent5 26" xfId="670"/>
    <cellStyle name="60% - Accent5 27" xfId="671"/>
    <cellStyle name="60% - Accent5 28" xfId="672"/>
    <cellStyle name="60% - Accent5 29" xfId="673"/>
    <cellStyle name="60% - Accent5 3" xfId="674"/>
    <cellStyle name="60% - Accent5 30" xfId="675"/>
    <cellStyle name="60% - Accent5 31" xfId="676"/>
    <cellStyle name="60% - Accent5 32" xfId="677"/>
    <cellStyle name="60% - Accent5 33" xfId="678"/>
    <cellStyle name="60% - Accent5 34" xfId="679"/>
    <cellStyle name="60% - Accent5 35" xfId="680"/>
    <cellStyle name="60% - Accent5 36" xfId="681"/>
    <cellStyle name="60% - Accent5 37" xfId="682"/>
    <cellStyle name="60% - Accent5 38" xfId="683"/>
    <cellStyle name="60% - Accent5 39" xfId="684"/>
    <cellStyle name="60% - Accent5 4" xfId="685"/>
    <cellStyle name="60% - Accent5 40" xfId="686"/>
    <cellStyle name="60% - Accent5 5" xfId="687"/>
    <cellStyle name="60% - Accent5 6" xfId="688"/>
    <cellStyle name="60% - Accent5 7" xfId="689"/>
    <cellStyle name="60% - Accent5 8" xfId="690"/>
    <cellStyle name="60% - Accent5 9" xfId="691"/>
    <cellStyle name="60% - Accent6 10" xfId="692"/>
    <cellStyle name="60% - Accent6 11" xfId="693"/>
    <cellStyle name="60% - Accent6 12" xfId="694"/>
    <cellStyle name="60% - Accent6 13" xfId="695"/>
    <cellStyle name="60% - Accent6 14" xfId="696"/>
    <cellStyle name="60% - Accent6 15" xfId="697"/>
    <cellStyle name="60% - Accent6 16" xfId="698"/>
    <cellStyle name="60% - Accent6 17" xfId="699"/>
    <cellStyle name="60% - Accent6 18" xfId="700"/>
    <cellStyle name="60% - Accent6 19" xfId="701"/>
    <cellStyle name="60% - Accent6 2" xfId="702"/>
    <cellStyle name="60% - Accent6 20" xfId="703"/>
    <cellStyle name="60% - Accent6 21" xfId="704"/>
    <cellStyle name="60% - Accent6 22" xfId="705"/>
    <cellStyle name="60% - Accent6 23" xfId="706"/>
    <cellStyle name="60% - Accent6 24" xfId="707"/>
    <cellStyle name="60% - Accent6 25" xfId="708"/>
    <cellStyle name="60% - Accent6 26" xfId="709"/>
    <cellStyle name="60% - Accent6 27" xfId="710"/>
    <cellStyle name="60% - Accent6 28" xfId="711"/>
    <cellStyle name="60% - Accent6 29" xfId="712"/>
    <cellStyle name="60% - Accent6 3" xfId="713"/>
    <cellStyle name="60% - Accent6 30" xfId="714"/>
    <cellStyle name="60% - Accent6 31" xfId="715"/>
    <cellStyle name="60% - Accent6 32" xfId="716"/>
    <cellStyle name="60% - Accent6 33" xfId="717"/>
    <cellStyle name="60% - Accent6 34" xfId="718"/>
    <cellStyle name="60% - Accent6 35" xfId="719"/>
    <cellStyle name="60% - Accent6 36" xfId="720"/>
    <cellStyle name="60% - Accent6 37" xfId="721"/>
    <cellStyle name="60% - Accent6 38" xfId="722"/>
    <cellStyle name="60% - Accent6 39" xfId="723"/>
    <cellStyle name="60% - Accent6 4" xfId="724"/>
    <cellStyle name="60% - Accent6 40" xfId="725"/>
    <cellStyle name="60% - Accent6 5" xfId="726"/>
    <cellStyle name="60% - Accent6 6" xfId="727"/>
    <cellStyle name="60% - Accent6 7" xfId="728"/>
    <cellStyle name="60% - Accent6 8" xfId="729"/>
    <cellStyle name="60% - Accent6 9" xfId="730"/>
    <cellStyle name="Accent1 10" xfId="731"/>
    <cellStyle name="Accent1 11" xfId="732"/>
    <cellStyle name="Accent1 12" xfId="733"/>
    <cellStyle name="Accent1 13" xfId="734"/>
    <cellStyle name="Accent1 14" xfId="735"/>
    <cellStyle name="Accent1 15" xfId="736"/>
    <cellStyle name="Accent1 16" xfId="737"/>
    <cellStyle name="Accent1 17" xfId="738"/>
    <cellStyle name="Accent1 18" xfId="739"/>
    <cellStyle name="Accent1 19" xfId="740"/>
    <cellStyle name="Accent1 2" xfId="741"/>
    <cellStyle name="Accent1 20" xfId="742"/>
    <cellStyle name="Accent1 21" xfId="743"/>
    <cellStyle name="Accent1 22" xfId="744"/>
    <cellStyle name="Accent1 23" xfId="745"/>
    <cellStyle name="Accent1 24" xfId="746"/>
    <cellStyle name="Accent1 25" xfId="747"/>
    <cellStyle name="Accent1 26" xfId="748"/>
    <cellStyle name="Accent1 27" xfId="749"/>
    <cellStyle name="Accent1 28" xfId="750"/>
    <cellStyle name="Accent1 29" xfId="751"/>
    <cellStyle name="Accent1 3" xfId="752"/>
    <cellStyle name="Accent1 30" xfId="753"/>
    <cellStyle name="Accent1 31" xfId="754"/>
    <cellStyle name="Accent1 32" xfId="755"/>
    <cellStyle name="Accent1 33" xfId="756"/>
    <cellStyle name="Accent1 34" xfId="757"/>
    <cellStyle name="Accent1 35" xfId="758"/>
    <cellStyle name="Accent1 36" xfId="759"/>
    <cellStyle name="Accent1 37" xfId="760"/>
    <cellStyle name="Accent1 38" xfId="761"/>
    <cellStyle name="Accent1 39" xfId="762"/>
    <cellStyle name="Accent1 4" xfId="763"/>
    <cellStyle name="Accent1 40" xfId="764"/>
    <cellStyle name="Accent1 5" xfId="765"/>
    <cellStyle name="Accent1 6" xfId="766"/>
    <cellStyle name="Accent1 7" xfId="767"/>
    <cellStyle name="Accent1 8" xfId="768"/>
    <cellStyle name="Accent1 9" xfId="769"/>
    <cellStyle name="Accent2 10" xfId="770"/>
    <cellStyle name="Accent2 11" xfId="771"/>
    <cellStyle name="Accent2 12" xfId="772"/>
    <cellStyle name="Accent2 13" xfId="773"/>
    <cellStyle name="Accent2 14" xfId="774"/>
    <cellStyle name="Accent2 15" xfId="775"/>
    <cellStyle name="Accent2 16" xfId="776"/>
    <cellStyle name="Accent2 17" xfId="777"/>
    <cellStyle name="Accent2 18" xfId="778"/>
    <cellStyle name="Accent2 19" xfId="779"/>
    <cellStyle name="Accent2 2" xfId="780"/>
    <cellStyle name="Accent2 20" xfId="781"/>
    <cellStyle name="Accent2 21" xfId="782"/>
    <cellStyle name="Accent2 22" xfId="783"/>
    <cellStyle name="Accent2 23" xfId="784"/>
    <cellStyle name="Accent2 24" xfId="785"/>
    <cellStyle name="Accent2 25" xfId="786"/>
    <cellStyle name="Accent2 26" xfId="787"/>
    <cellStyle name="Accent2 27" xfId="788"/>
    <cellStyle name="Accent2 28" xfId="789"/>
    <cellStyle name="Accent2 29" xfId="790"/>
    <cellStyle name="Accent2 3" xfId="791"/>
    <cellStyle name="Accent2 30" xfId="792"/>
    <cellStyle name="Accent2 31" xfId="793"/>
    <cellStyle name="Accent2 32" xfId="794"/>
    <cellStyle name="Accent2 33" xfId="795"/>
    <cellStyle name="Accent2 34" xfId="796"/>
    <cellStyle name="Accent2 35" xfId="797"/>
    <cellStyle name="Accent2 36" xfId="798"/>
    <cellStyle name="Accent2 37" xfId="799"/>
    <cellStyle name="Accent2 38" xfId="800"/>
    <cellStyle name="Accent2 39" xfId="801"/>
    <cellStyle name="Accent2 4" xfId="802"/>
    <cellStyle name="Accent2 40" xfId="803"/>
    <cellStyle name="Accent2 5" xfId="804"/>
    <cellStyle name="Accent2 6" xfId="805"/>
    <cellStyle name="Accent2 7" xfId="806"/>
    <cellStyle name="Accent2 8" xfId="807"/>
    <cellStyle name="Accent2 9" xfId="808"/>
    <cellStyle name="Accent3 10" xfId="809"/>
    <cellStyle name="Accent3 11" xfId="810"/>
    <cellStyle name="Accent3 12" xfId="811"/>
    <cellStyle name="Accent3 13" xfId="812"/>
    <cellStyle name="Accent3 14" xfId="813"/>
    <cellStyle name="Accent3 15" xfId="814"/>
    <cellStyle name="Accent3 16" xfId="815"/>
    <cellStyle name="Accent3 17" xfId="816"/>
    <cellStyle name="Accent3 18" xfId="817"/>
    <cellStyle name="Accent3 19" xfId="818"/>
    <cellStyle name="Accent3 2" xfId="819"/>
    <cellStyle name="Accent3 20" xfId="820"/>
    <cellStyle name="Accent3 21" xfId="821"/>
    <cellStyle name="Accent3 22" xfId="822"/>
    <cellStyle name="Accent3 23" xfId="823"/>
    <cellStyle name="Accent3 24" xfId="824"/>
    <cellStyle name="Accent3 25" xfId="825"/>
    <cellStyle name="Accent3 26" xfId="826"/>
    <cellStyle name="Accent3 27" xfId="827"/>
    <cellStyle name="Accent3 28" xfId="828"/>
    <cellStyle name="Accent3 29" xfId="829"/>
    <cellStyle name="Accent3 3" xfId="830"/>
    <cellStyle name="Accent3 30" xfId="831"/>
    <cellStyle name="Accent3 31" xfId="832"/>
    <cellStyle name="Accent3 32" xfId="833"/>
    <cellStyle name="Accent3 33" xfId="834"/>
    <cellStyle name="Accent3 34" xfId="835"/>
    <cellStyle name="Accent3 35" xfId="836"/>
    <cellStyle name="Accent3 36" xfId="837"/>
    <cellStyle name="Accent3 37" xfId="838"/>
    <cellStyle name="Accent3 38" xfId="839"/>
    <cellStyle name="Accent3 39" xfId="840"/>
    <cellStyle name="Accent3 4" xfId="841"/>
    <cellStyle name="Accent3 40" xfId="842"/>
    <cellStyle name="Accent3 5" xfId="843"/>
    <cellStyle name="Accent3 6" xfId="844"/>
    <cellStyle name="Accent3 7" xfId="845"/>
    <cellStyle name="Accent3 8" xfId="846"/>
    <cellStyle name="Accent3 9" xfId="847"/>
    <cellStyle name="Accent4 10" xfId="848"/>
    <cellStyle name="Accent4 11" xfId="849"/>
    <cellStyle name="Accent4 12" xfId="850"/>
    <cellStyle name="Accent4 13" xfId="851"/>
    <cellStyle name="Accent4 14" xfId="852"/>
    <cellStyle name="Accent4 15" xfId="853"/>
    <cellStyle name="Accent4 16" xfId="854"/>
    <cellStyle name="Accent4 17" xfId="855"/>
    <cellStyle name="Accent4 18" xfId="856"/>
    <cellStyle name="Accent4 19" xfId="857"/>
    <cellStyle name="Accent4 2" xfId="858"/>
    <cellStyle name="Accent4 20" xfId="859"/>
    <cellStyle name="Accent4 21" xfId="860"/>
    <cellStyle name="Accent4 22" xfId="861"/>
    <cellStyle name="Accent4 23" xfId="862"/>
    <cellStyle name="Accent4 24" xfId="863"/>
    <cellStyle name="Accent4 25" xfId="864"/>
    <cellStyle name="Accent4 26" xfId="865"/>
    <cellStyle name="Accent4 27" xfId="866"/>
    <cellStyle name="Accent4 28" xfId="867"/>
    <cellStyle name="Accent4 29" xfId="868"/>
    <cellStyle name="Accent4 3" xfId="869"/>
    <cellStyle name="Accent4 30" xfId="870"/>
    <cellStyle name="Accent4 31" xfId="871"/>
    <cellStyle name="Accent4 32" xfId="872"/>
    <cellStyle name="Accent4 33" xfId="873"/>
    <cellStyle name="Accent4 34" xfId="874"/>
    <cellStyle name="Accent4 35" xfId="875"/>
    <cellStyle name="Accent4 36" xfId="876"/>
    <cellStyle name="Accent4 37" xfId="877"/>
    <cellStyle name="Accent4 38" xfId="878"/>
    <cellStyle name="Accent4 39" xfId="879"/>
    <cellStyle name="Accent4 4" xfId="880"/>
    <cellStyle name="Accent4 40" xfId="881"/>
    <cellStyle name="Accent4 5" xfId="882"/>
    <cellStyle name="Accent4 6" xfId="883"/>
    <cellStyle name="Accent4 7" xfId="884"/>
    <cellStyle name="Accent4 8" xfId="885"/>
    <cellStyle name="Accent4 9" xfId="886"/>
    <cellStyle name="Accent5 10" xfId="887"/>
    <cellStyle name="Accent5 11" xfId="888"/>
    <cellStyle name="Accent5 12" xfId="889"/>
    <cellStyle name="Accent5 13" xfId="890"/>
    <cellStyle name="Accent5 14" xfId="891"/>
    <cellStyle name="Accent5 15" xfId="892"/>
    <cellStyle name="Accent5 16" xfId="893"/>
    <cellStyle name="Accent5 17" xfId="894"/>
    <cellStyle name="Accent5 18" xfId="895"/>
    <cellStyle name="Accent5 19" xfId="896"/>
    <cellStyle name="Accent5 2" xfId="897"/>
    <cellStyle name="Accent5 20" xfId="898"/>
    <cellStyle name="Accent5 21" xfId="899"/>
    <cellStyle name="Accent5 22" xfId="900"/>
    <cellStyle name="Accent5 23" xfId="901"/>
    <cellStyle name="Accent5 24" xfId="902"/>
    <cellStyle name="Accent5 25" xfId="903"/>
    <cellStyle name="Accent5 26" xfId="904"/>
    <cellStyle name="Accent5 27" xfId="905"/>
    <cellStyle name="Accent5 28" xfId="906"/>
    <cellStyle name="Accent5 29" xfId="907"/>
    <cellStyle name="Accent5 3" xfId="908"/>
    <cellStyle name="Accent5 30" xfId="909"/>
    <cellStyle name="Accent5 31" xfId="910"/>
    <cellStyle name="Accent5 32" xfId="911"/>
    <cellStyle name="Accent5 33" xfId="912"/>
    <cellStyle name="Accent5 34" xfId="913"/>
    <cellStyle name="Accent5 35" xfId="914"/>
    <cellStyle name="Accent5 36" xfId="915"/>
    <cellStyle name="Accent5 37" xfId="916"/>
    <cellStyle name="Accent5 38" xfId="917"/>
    <cellStyle name="Accent5 39" xfId="918"/>
    <cellStyle name="Accent5 4" xfId="919"/>
    <cellStyle name="Accent5 40"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16" xfId="932"/>
    <cellStyle name="Accent6 17" xfId="933"/>
    <cellStyle name="Accent6 18" xfId="934"/>
    <cellStyle name="Accent6 19" xfId="935"/>
    <cellStyle name="Accent6 2" xfId="936"/>
    <cellStyle name="Accent6 20" xfId="937"/>
    <cellStyle name="Accent6 21" xfId="938"/>
    <cellStyle name="Accent6 22" xfId="939"/>
    <cellStyle name="Accent6 23" xfId="940"/>
    <cellStyle name="Accent6 24" xfId="941"/>
    <cellStyle name="Accent6 25" xfId="942"/>
    <cellStyle name="Accent6 26" xfId="943"/>
    <cellStyle name="Accent6 27" xfId="944"/>
    <cellStyle name="Accent6 28" xfId="945"/>
    <cellStyle name="Accent6 29" xfId="946"/>
    <cellStyle name="Accent6 3" xfId="947"/>
    <cellStyle name="Accent6 30" xfId="948"/>
    <cellStyle name="Accent6 31" xfId="949"/>
    <cellStyle name="Accent6 32" xfId="950"/>
    <cellStyle name="Accent6 33" xfId="951"/>
    <cellStyle name="Accent6 34" xfId="952"/>
    <cellStyle name="Accent6 35" xfId="953"/>
    <cellStyle name="Accent6 36" xfId="954"/>
    <cellStyle name="Accent6 37" xfId="955"/>
    <cellStyle name="Accent6 38" xfId="956"/>
    <cellStyle name="Accent6 39" xfId="957"/>
    <cellStyle name="Accent6 4" xfId="958"/>
    <cellStyle name="Accent6 40"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16" xfId="971"/>
    <cellStyle name="Bad 17" xfId="972"/>
    <cellStyle name="Bad 18" xfId="973"/>
    <cellStyle name="Bad 19" xfId="974"/>
    <cellStyle name="Bad 2" xfId="975"/>
    <cellStyle name="Bad 20" xfId="976"/>
    <cellStyle name="Bad 21" xfId="977"/>
    <cellStyle name="Bad 22" xfId="978"/>
    <cellStyle name="Bad 23" xfId="979"/>
    <cellStyle name="Bad 24" xfId="980"/>
    <cellStyle name="Bad 25" xfId="981"/>
    <cellStyle name="Bad 26" xfId="982"/>
    <cellStyle name="Bad 27" xfId="983"/>
    <cellStyle name="Bad 28" xfId="984"/>
    <cellStyle name="Bad 29" xfId="985"/>
    <cellStyle name="Bad 3" xfId="986"/>
    <cellStyle name="Bad 30" xfId="987"/>
    <cellStyle name="Bad 31" xfId="988"/>
    <cellStyle name="Bad 32" xfId="989"/>
    <cellStyle name="Bad 33" xfId="990"/>
    <cellStyle name="Bad 34" xfId="991"/>
    <cellStyle name="Bad 35" xfId="992"/>
    <cellStyle name="Bad 36" xfId="993"/>
    <cellStyle name="Bad 37" xfId="994"/>
    <cellStyle name="Bad 38" xfId="995"/>
    <cellStyle name="Bad 39" xfId="996"/>
    <cellStyle name="Bad 4" xfId="997"/>
    <cellStyle name="Bad 40" xfId="998"/>
    <cellStyle name="Bad 5" xfId="999"/>
    <cellStyle name="Bad 6" xfId="1000"/>
    <cellStyle name="Bad 7" xfId="1001"/>
    <cellStyle name="Bad 8" xfId="1002"/>
    <cellStyle name="Bad 9" xfId="1003"/>
    <cellStyle name="Blue" xfId="1004"/>
    <cellStyle name="Bold/Border" xfId="1005"/>
    <cellStyle name="Bullet" xfId="1006"/>
    <cellStyle name="c" xfId="1007"/>
    <cellStyle name="c_Bal Sheets" xfId="1008"/>
    <cellStyle name="c_Credit (2)" xfId="1009"/>
    <cellStyle name="c_Earnings" xfId="1010"/>
    <cellStyle name="c_Earnings (2)" xfId="1011"/>
    <cellStyle name="c_finsumm" xfId="1012"/>
    <cellStyle name="c_GoroWipTax-to2050_fromCo_Oct21_99" xfId="1013"/>
    <cellStyle name="c_Hist Inputs (2)" xfId="1014"/>
    <cellStyle name="c_IEL_finsumm" xfId="1015"/>
    <cellStyle name="c_IEL_finsumm1" xfId="1016"/>
    <cellStyle name="c_LBO Summary" xfId="1017"/>
    <cellStyle name="c_Schedules" xfId="1018"/>
    <cellStyle name="c_Trans Assump (2)" xfId="1019"/>
    <cellStyle name="c_Unit Price Sen. (2)" xfId="1020"/>
    <cellStyle name="Calculation 10" xfId="1021"/>
    <cellStyle name="Calculation 11" xfId="1022"/>
    <cellStyle name="Calculation 12" xfId="1023"/>
    <cellStyle name="Calculation 13" xfId="1024"/>
    <cellStyle name="Calculation 14" xfId="1025"/>
    <cellStyle name="Calculation 15" xfId="1026"/>
    <cellStyle name="Calculation 16" xfId="1027"/>
    <cellStyle name="Calculation 17" xfId="1028"/>
    <cellStyle name="Calculation 18" xfId="1029"/>
    <cellStyle name="Calculation 19" xfId="1030"/>
    <cellStyle name="Calculation 2" xfId="1031"/>
    <cellStyle name="Calculation 20" xfId="1032"/>
    <cellStyle name="Calculation 21" xfId="1033"/>
    <cellStyle name="Calculation 22" xfId="1034"/>
    <cellStyle name="Calculation 23" xfId="1035"/>
    <cellStyle name="Calculation 24" xfId="1036"/>
    <cellStyle name="Calculation 25" xfId="1037"/>
    <cellStyle name="Calculation 26" xfId="1038"/>
    <cellStyle name="Calculation 27" xfId="1039"/>
    <cellStyle name="Calculation 28" xfId="1040"/>
    <cellStyle name="Calculation 29" xfId="1041"/>
    <cellStyle name="Calculation 3" xfId="1042"/>
    <cellStyle name="Calculation 30" xfId="1043"/>
    <cellStyle name="Calculation 31" xfId="1044"/>
    <cellStyle name="Calculation 32" xfId="1045"/>
    <cellStyle name="Calculation 33" xfId="1046"/>
    <cellStyle name="Calculation 34" xfId="1047"/>
    <cellStyle name="Calculation 35" xfId="1048"/>
    <cellStyle name="Calculation 36" xfId="1049"/>
    <cellStyle name="Calculation 37" xfId="1050"/>
    <cellStyle name="Calculation 38" xfId="1051"/>
    <cellStyle name="Calculation 39" xfId="1052"/>
    <cellStyle name="Calculation 4" xfId="1053"/>
    <cellStyle name="Calculation 40" xfId="1054"/>
    <cellStyle name="Calculation 5" xfId="1055"/>
    <cellStyle name="Calculation 6" xfId="1056"/>
    <cellStyle name="Calculation 7" xfId="1057"/>
    <cellStyle name="Calculation 8" xfId="1058"/>
    <cellStyle name="Calculation 9" xfId="1059"/>
    <cellStyle name="Check Cell 10" xfId="1060"/>
    <cellStyle name="Check Cell 11" xfId="1061"/>
    <cellStyle name="Check Cell 12" xfId="1062"/>
    <cellStyle name="Check Cell 13" xfId="1063"/>
    <cellStyle name="Check Cell 14" xfId="1064"/>
    <cellStyle name="Check Cell 15" xfId="1065"/>
    <cellStyle name="Check Cell 16" xfId="1066"/>
    <cellStyle name="Check Cell 17" xfId="1067"/>
    <cellStyle name="Check Cell 18" xfId="1068"/>
    <cellStyle name="Check Cell 19" xfId="1069"/>
    <cellStyle name="Check Cell 2" xfId="1070"/>
    <cellStyle name="Check Cell 20" xfId="1071"/>
    <cellStyle name="Check Cell 21" xfId="1072"/>
    <cellStyle name="Check Cell 22" xfId="1073"/>
    <cellStyle name="Check Cell 23" xfId="1074"/>
    <cellStyle name="Check Cell 24" xfId="1075"/>
    <cellStyle name="Check Cell 25" xfId="1076"/>
    <cellStyle name="Check Cell 26" xfId="1077"/>
    <cellStyle name="Check Cell 27" xfId="1078"/>
    <cellStyle name="Check Cell 28" xfId="1079"/>
    <cellStyle name="Check Cell 29" xfId="1080"/>
    <cellStyle name="Check Cell 3" xfId="1081"/>
    <cellStyle name="Check Cell 30" xfId="1082"/>
    <cellStyle name="Check Cell 31" xfId="1083"/>
    <cellStyle name="Check Cell 32" xfId="1084"/>
    <cellStyle name="Check Cell 33" xfId="1085"/>
    <cellStyle name="Check Cell 34" xfId="1086"/>
    <cellStyle name="Check Cell 35" xfId="1087"/>
    <cellStyle name="Check Cell 36" xfId="1088"/>
    <cellStyle name="Check Cell 37" xfId="1089"/>
    <cellStyle name="Check Cell 38" xfId="1090"/>
    <cellStyle name="Check Cell 39" xfId="1091"/>
    <cellStyle name="Check Cell 4" xfId="1092"/>
    <cellStyle name="Check Cell 40" xfId="1093"/>
    <cellStyle name="Check Cell 5" xfId="1094"/>
    <cellStyle name="Check Cell 6" xfId="1095"/>
    <cellStyle name="Check Cell 7" xfId="1096"/>
    <cellStyle name="Check Cell 8" xfId="1097"/>
    <cellStyle name="Check Cell 9" xfId="1098"/>
    <cellStyle name="Comma" xfId="2" builtinId="3"/>
    <cellStyle name="Comma  - Style1" xfId="1099"/>
    <cellStyle name="Comma  - Style2" xfId="1100"/>
    <cellStyle name="Comma  - Style3" xfId="1101"/>
    <cellStyle name="Comma  - Style4" xfId="1102"/>
    <cellStyle name="Comma  - Style5" xfId="1103"/>
    <cellStyle name="Comma  - Style6" xfId="1104"/>
    <cellStyle name="Comma  - Style7" xfId="1105"/>
    <cellStyle name="Comma  - Style8" xfId="1106"/>
    <cellStyle name="Comma 10" xfId="1926"/>
    <cellStyle name="Comma 11" xfId="1107"/>
    <cellStyle name="Comma 12" xfId="1929"/>
    <cellStyle name="Comma 13" xfId="1933"/>
    <cellStyle name="Comma 14" xfId="1108"/>
    <cellStyle name="Comma 17" xfId="1109"/>
    <cellStyle name="Comma 18" xfId="1110"/>
    <cellStyle name="Comma 2" xfId="1111"/>
    <cellStyle name="Comma 2 10" xfId="1112"/>
    <cellStyle name="Comma 2 11" xfId="1113"/>
    <cellStyle name="Comma 2 12" xfId="1114"/>
    <cellStyle name="Comma 2 13" xfId="1115"/>
    <cellStyle name="Comma 2 14" xfId="1116"/>
    <cellStyle name="Comma 2 15" xfId="1117"/>
    <cellStyle name="Comma 2 16" xfId="1118"/>
    <cellStyle name="Comma 2 17" xfId="1119"/>
    <cellStyle name="Comma 2 18" xfId="1120"/>
    <cellStyle name="Comma 2 19" xfId="1121"/>
    <cellStyle name="Comma 2 2" xfId="1122"/>
    <cellStyle name="Comma 2 20" xfId="1123"/>
    <cellStyle name="Comma 2 21" xfId="1124"/>
    <cellStyle name="Comma 2 22" xfId="1125"/>
    <cellStyle name="Comma 2 23" xfId="1126"/>
    <cellStyle name="Comma 2 24" xfId="1127"/>
    <cellStyle name="Comma 2 25" xfId="1128"/>
    <cellStyle name="Comma 2 26" xfId="1129"/>
    <cellStyle name="Comma 2 27" xfId="1130"/>
    <cellStyle name="Comma 2 28" xfId="1131"/>
    <cellStyle name="Comma 2 29" xfId="1132"/>
    <cellStyle name="Comma 2 3" xfId="1133"/>
    <cellStyle name="Comma 2 30" xfId="1915"/>
    <cellStyle name="Comma 2 4" xfId="1134"/>
    <cellStyle name="Comma 2 5" xfId="1135"/>
    <cellStyle name="Comma 2 6" xfId="1136"/>
    <cellStyle name="Comma 2 7" xfId="1137"/>
    <cellStyle name="Comma 2 8" xfId="1138"/>
    <cellStyle name="Comma 2 9" xfId="1139"/>
    <cellStyle name="Comma 22" xfId="1140"/>
    <cellStyle name="Comma 25" xfId="1141"/>
    <cellStyle name="Comma 28" xfId="1142"/>
    <cellStyle name="Comma 29" xfId="1143"/>
    <cellStyle name="Comma 3" xfId="1144"/>
    <cellStyle name="Comma 3 2" xfId="1918"/>
    <cellStyle name="Comma 4" xfId="1145"/>
    <cellStyle name="Comma 5" xfId="1146"/>
    <cellStyle name="Comma 6" xfId="1905"/>
    <cellStyle name="Comma 7" xfId="1921"/>
    <cellStyle name="Comma 8" xfId="1147"/>
    <cellStyle name="Comma 9" xfId="1922"/>
    <cellStyle name="Currency" xfId="1" builtinId="4"/>
    <cellStyle name="Currency [2]" xfId="1148"/>
    <cellStyle name="Currency 2" xfId="1914"/>
    <cellStyle name="Currency 3" xfId="1916"/>
    <cellStyle name="Currency 4" xfId="1920"/>
    <cellStyle name="Currency 5" xfId="1927"/>
    <cellStyle name="Currency 6" xfId="1928"/>
    <cellStyle name="Currency 7" xfId="1930"/>
    <cellStyle name="Currency 8" xfId="1931"/>
    <cellStyle name="Currency 9" xfId="1934"/>
    <cellStyle name="Dash" xfId="1149"/>
    <cellStyle name="Euro" xfId="1150"/>
    <cellStyle name="Explanatory Text 10" xfId="1151"/>
    <cellStyle name="Explanatory Text 11" xfId="1152"/>
    <cellStyle name="Explanatory Text 12" xfId="1153"/>
    <cellStyle name="Explanatory Text 13" xfId="1154"/>
    <cellStyle name="Explanatory Text 14" xfId="1155"/>
    <cellStyle name="Explanatory Text 15" xfId="1156"/>
    <cellStyle name="Explanatory Text 16" xfId="1157"/>
    <cellStyle name="Explanatory Text 17" xfId="1158"/>
    <cellStyle name="Explanatory Text 18" xfId="1159"/>
    <cellStyle name="Explanatory Text 19" xfId="1160"/>
    <cellStyle name="Explanatory Text 2" xfId="1161"/>
    <cellStyle name="Explanatory Text 20" xfId="1162"/>
    <cellStyle name="Explanatory Text 21" xfId="1163"/>
    <cellStyle name="Explanatory Text 22" xfId="1164"/>
    <cellStyle name="Explanatory Text 23" xfId="1165"/>
    <cellStyle name="Explanatory Text 24" xfId="1166"/>
    <cellStyle name="Explanatory Text 25" xfId="1167"/>
    <cellStyle name="Explanatory Text 26" xfId="1168"/>
    <cellStyle name="Explanatory Text 27" xfId="1169"/>
    <cellStyle name="Explanatory Text 28" xfId="1170"/>
    <cellStyle name="Explanatory Text 29" xfId="1171"/>
    <cellStyle name="Explanatory Text 3" xfId="1172"/>
    <cellStyle name="Explanatory Text 30" xfId="1173"/>
    <cellStyle name="Explanatory Text 31" xfId="1174"/>
    <cellStyle name="Explanatory Text 32" xfId="1175"/>
    <cellStyle name="Explanatory Text 33" xfId="1176"/>
    <cellStyle name="Explanatory Text 34" xfId="1177"/>
    <cellStyle name="Explanatory Text 35" xfId="1178"/>
    <cellStyle name="Explanatory Text 36" xfId="1179"/>
    <cellStyle name="Explanatory Text 37" xfId="1180"/>
    <cellStyle name="Explanatory Text 38" xfId="1181"/>
    <cellStyle name="Explanatory Text 39" xfId="1182"/>
    <cellStyle name="Explanatory Text 4" xfId="1183"/>
    <cellStyle name="Explanatory Text 40" xfId="1184"/>
    <cellStyle name="Explanatory Text 5" xfId="1185"/>
    <cellStyle name="Explanatory Text 6" xfId="1186"/>
    <cellStyle name="Explanatory Text 7" xfId="1187"/>
    <cellStyle name="Explanatory Text 8" xfId="1188"/>
    <cellStyle name="Explanatory Text 9" xfId="1189"/>
    <cellStyle name="Good 10" xfId="1190"/>
    <cellStyle name="Good 11" xfId="1191"/>
    <cellStyle name="Good 12" xfId="1192"/>
    <cellStyle name="Good 13" xfId="1193"/>
    <cellStyle name="Good 14" xfId="1194"/>
    <cellStyle name="Good 15" xfId="1195"/>
    <cellStyle name="Good 16" xfId="1196"/>
    <cellStyle name="Good 17" xfId="1197"/>
    <cellStyle name="Good 18" xfId="1198"/>
    <cellStyle name="Good 19" xfId="1199"/>
    <cellStyle name="Good 2" xfId="1200"/>
    <cellStyle name="Good 20" xfId="1201"/>
    <cellStyle name="Good 21" xfId="1202"/>
    <cellStyle name="Good 22" xfId="1203"/>
    <cellStyle name="Good 23" xfId="1204"/>
    <cellStyle name="Good 24" xfId="1205"/>
    <cellStyle name="Good 25" xfId="1206"/>
    <cellStyle name="Good 26" xfId="1207"/>
    <cellStyle name="Good 27" xfId="1208"/>
    <cellStyle name="Good 28" xfId="1209"/>
    <cellStyle name="Good 29" xfId="1210"/>
    <cellStyle name="Good 3" xfId="1211"/>
    <cellStyle name="Good 30" xfId="1212"/>
    <cellStyle name="Good 31" xfId="1213"/>
    <cellStyle name="Good 32" xfId="1214"/>
    <cellStyle name="Good 33" xfId="1215"/>
    <cellStyle name="Good 34" xfId="1216"/>
    <cellStyle name="Good 35" xfId="1217"/>
    <cellStyle name="Good 36" xfId="1218"/>
    <cellStyle name="Good 37" xfId="1219"/>
    <cellStyle name="Good 38" xfId="1220"/>
    <cellStyle name="Good 39" xfId="1221"/>
    <cellStyle name="Good 4" xfId="1222"/>
    <cellStyle name="Good 40" xfId="1223"/>
    <cellStyle name="Good 5" xfId="1224"/>
    <cellStyle name="Good 6" xfId="1225"/>
    <cellStyle name="Good 7" xfId="1226"/>
    <cellStyle name="Good 8" xfId="1227"/>
    <cellStyle name="Good 9" xfId="1228"/>
    <cellStyle name="Heading 1 10" xfId="1229"/>
    <cellStyle name="Heading 1 11" xfId="1230"/>
    <cellStyle name="Heading 1 12" xfId="1231"/>
    <cellStyle name="Heading 1 13" xfId="1232"/>
    <cellStyle name="Heading 1 14" xfId="1233"/>
    <cellStyle name="Heading 1 15" xfId="1234"/>
    <cellStyle name="Heading 1 16" xfId="1235"/>
    <cellStyle name="Heading 1 17" xfId="1236"/>
    <cellStyle name="Heading 1 18" xfId="1237"/>
    <cellStyle name="Heading 1 19" xfId="1238"/>
    <cellStyle name="Heading 1 2" xfId="1239"/>
    <cellStyle name="Heading 1 20" xfId="1240"/>
    <cellStyle name="Heading 1 21" xfId="1241"/>
    <cellStyle name="Heading 1 22" xfId="1242"/>
    <cellStyle name="Heading 1 23" xfId="1243"/>
    <cellStyle name="Heading 1 24" xfId="1244"/>
    <cellStyle name="Heading 1 25" xfId="1245"/>
    <cellStyle name="Heading 1 26" xfId="1246"/>
    <cellStyle name="Heading 1 27" xfId="1247"/>
    <cellStyle name="Heading 1 28" xfId="1248"/>
    <cellStyle name="Heading 1 29" xfId="1249"/>
    <cellStyle name="Heading 1 3" xfId="1250"/>
    <cellStyle name="Heading 1 30" xfId="1251"/>
    <cellStyle name="Heading 1 31" xfId="1252"/>
    <cellStyle name="Heading 1 32" xfId="1253"/>
    <cellStyle name="Heading 1 33" xfId="1254"/>
    <cellStyle name="Heading 1 34" xfId="1255"/>
    <cellStyle name="Heading 1 35" xfId="1256"/>
    <cellStyle name="Heading 1 36" xfId="1257"/>
    <cellStyle name="Heading 1 37" xfId="1258"/>
    <cellStyle name="Heading 1 38" xfId="1259"/>
    <cellStyle name="Heading 1 39" xfId="1260"/>
    <cellStyle name="Heading 1 4" xfId="1261"/>
    <cellStyle name="Heading 1 40" xfId="1262"/>
    <cellStyle name="Heading 1 5" xfId="1263"/>
    <cellStyle name="Heading 1 6" xfId="1264"/>
    <cellStyle name="Heading 1 7" xfId="1265"/>
    <cellStyle name="Heading 1 8" xfId="1266"/>
    <cellStyle name="Heading 1 9" xfId="1267"/>
    <cellStyle name="Heading 2 10" xfId="1268"/>
    <cellStyle name="Heading 2 11" xfId="1269"/>
    <cellStyle name="Heading 2 12" xfId="1270"/>
    <cellStyle name="Heading 2 13" xfId="1271"/>
    <cellStyle name="Heading 2 14" xfId="1272"/>
    <cellStyle name="Heading 2 15" xfId="1273"/>
    <cellStyle name="Heading 2 16" xfId="1274"/>
    <cellStyle name="Heading 2 17" xfId="1275"/>
    <cellStyle name="Heading 2 18" xfId="1276"/>
    <cellStyle name="Heading 2 19" xfId="1277"/>
    <cellStyle name="Heading 2 2" xfId="1278"/>
    <cellStyle name="Heading 2 20" xfId="1279"/>
    <cellStyle name="Heading 2 21" xfId="1280"/>
    <cellStyle name="Heading 2 22" xfId="1281"/>
    <cellStyle name="Heading 2 23" xfId="1282"/>
    <cellStyle name="Heading 2 24" xfId="1283"/>
    <cellStyle name="Heading 2 25" xfId="1284"/>
    <cellStyle name="Heading 2 26" xfId="1285"/>
    <cellStyle name="Heading 2 27" xfId="1286"/>
    <cellStyle name="Heading 2 28" xfId="1287"/>
    <cellStyle name="Heading 2 29" xfId="1288"/>
    <cellStyle name="Heading 2 3" xfId="1289"/>
    <cellStyle name="Heading 2 30" xfId="1290"/>
    <cellStyle name="Heading 2 31" xfId="1291"/>
    <cellStyle name="Heading 2 32" xfId="1292"/>
    <cellStyle name="Heading 2 33" xfId="1293"/>
    <cellStyle name="Heading 2 34" xfId="1294"/>
    <cellStyle name="Heading 2 35" xfId="1295"/>
    <cellStyle name="Heading 2 36" xfId="1296"/>
    <cellStyle name="Heading 2 37" xfId="1297"/>
    <cellStyle name="Heading 2 38" xfId="1298"/>
    <cellStyle name="Heading 2 39" xfId="1299"/>
    <cellStyle name="Heading 2 4" xfId="1300"/>
    <cellStyle name="Heading 2 40" xfId="1301"/>
    <cellStyle name="Heading 2 5" xfId="1302"/>
    <cellStyle name="Heading 2 6" xfId="1303"/>
    <cellStyle name="Heading 2 7" xfId="1304"/>
    <cellStyle name="Heading 2 8" xfId="1305"/>
    <cellStyle name="Heading 2 9" xfId="1306"/>
    <cellStyle name="Heading 3 10" xfId="1307"/>
    <cellStyle name="Heading 3 11" xfId="1308"/>
    <cellStyle name="Heading 3 12" xfId="1309"/>
    <cellStyle name="Heading 3 13" xfId="1310"/>
    <cellStyle name="Heading 3 14" xfId="1311"/>
    <cellStyle name="Heading 3 15" xfId="1312"/>
    <cellStyle name="Heading 3 16" xfId="1313"/>
    <cellStyle name="Heading 3 17" xfId="1314"/>
    <cellStyle name="Heading 3 18" xfId="1315"/>
    <cellStyle name="Heading 3 19" xfId="1316"/>
    <cellStyle name="Heading 3 2" xfId="1317"/>
    <cellStyle name="Heading 3 20" xfId="1318"/>
    <cellStyle name="Heading 3 21" xfId="1319"/>
    <cellStyle name="Heading 3 22" xfId="1320"/>
    <cellStyle name="Heading 3 23" xfId="1321"/>
    <cellStyle name="Heading 3 24" xfId="1322"/>
    <cellStyle name="Heading 3 25" xfId="1323"/>
    <cellStyle name="Heading 3 26" xfId="1324"/>
    <cellStyle name="Heading 3 27" xfId="1325"/>
    <cellStyle name="Heading 3 28" xfId="1326"/>
    <cellStyle name="Heading 3 29" xfId="1327"/>
    <cellStyle name="Heading 3 3" xfId="1328"/>
    <cellStyle name="Heading 3 30" xfId="1329"/>
    <cellStyle name="Heading 3 31" xfId="1330"/>
    <cellStyle name="Heading 3 32" xfId="1331"/>
    <cellStyle name="Heading 3 33" xfId="1332"/>
    <cellStyle name="Heading 3 34" xfId="1333"/>
    <cellStyle name="Heading 3 35" xfId="1334"/>
    <cellStyle name="Heading 3 36" xfId="1335"/>
    <cellStyle name="Heading 3 37" xfId="1336"/>
    <cellStyle name="Heading 3 38" xfId="1337"/>
    <cellStyle name="Heading 3 39" xfId="1338"/>
    <cellStyle name="Heading 3 4" xfId="1339"/>
    <cellStyle name="Heading 3 40" xfId="1340"/>
    <cellStyle name="Heading 3 5" xfId="1341"/>
    <cellStyle name="Heading 3 6" xfId="1342"/>
    <cellStyle name="Heading 3 7" xfId="1343"/>
    <cellStyle name="Heading 3 8" xfId="1344"/>
    <cellStyle name="Heading 3 9" xfId="1345"/>
    <cellStyle name="Heading 4 10" xfId="1346"/>
    <cellStyle name="Heading 4 11" xfId="1347"/>
    <cellStyle name="Heading 4 12" xfId="1348"/>
    <cellStyle name="Heading 4 13" xfId="1349"/>
    <cellStyle name="Heading 4 14" xfId="1350"/>
    <cellStyle name="Heading 4 15" xfId="1351"/>
    <cellStyle name="Heading 4 16" xfId="1352"/>
    <cellStyle name="Heading 4 17" xfId="1353"/>
    <cellStyle name="Heading 4 18" xfId="1354"/>
    <cellStyle name="Heading 4 19" xfId="1355"/>
    <cellStyle name="Heading 4 2" xfId="1356"/>
    <cellStyle name="Heading 4 20" xfId="1357"/>
    <cellStyle name="Heading 4 21" xfId="1358"/>
    <cellStyle name="Heading 4 22" xfId="1359"/>
    <cellStyle name="Heading 4 23" xfId="1360"/>
    <cellStyle name="Heading 4 24" xfId="1361"/>
    <cellStyle name="Heading 4 25" xfId="1362"/>
    <cellStyle name="Heading 4 26" xfId="1363"/>
    <cellStyle name="Heading 4 27" xfId="1364"/>
    <cellStyle name="Heading 4 28" xfId="1365"/>
    <cellStyle name="Heading 4 29" xfId="1366"/>
    <cellStyle name="Heading 4 3" xfId="1367"/>
    <cellStyle name="Heading 4 30" xfId="1368"/>
    <cellStyle name="Heading 4 31" xfId="1369"/>
    <cellStyle name="Heading 4 32" xfId="1370"/>
    <cellStyle name="Heading 4 33" xfId="1371"/>
    <cellStyle name="Heading 4 34" xfId="1372"/>
    <cellStyle name="Heading 4 35" xfId="1373"/>
    <cellStyle name="Heading 4 36" xfId="1374"/>
    <cellStyle name="Heading 4 37" xfId="1375"/>
    <cellStyle name="Heading 4 38" xfId="1376"/>
    <cellStyle name="Heading 4 39" xfId="1377"/>
    <cellStyle name="Heading 4 4" xfId="1378"/>
    <cellStyle name="Heading 4 40" xfId="1379"/>
    <cellStyle name="Heading 4 5" xfId="1380"/>
    <cellStyle name="Heading 4 6" xfId="1381"/>
    <cellStyle name="Heading 4 7" xfId="1382"/>
    <cellStyle name="Heading 4 8" xfId="1383"/>
    <cellStyle name="Heading 4 9" xfId="1384"/>
    <cellStyle name="Input 10" xfId="1385"/>
    <cellStyle name="Input 11" xfId="1386"/>
    <cellStyle name="Input 12" xfId="1387"/>
    <cellStyle name="Input 13" xfId="1388"/>
    <cellStyle name="Input 14" xfId="1389"/>
    <cellStyle name="Input 15" xfId="1390"/>
    <cellStyle name="Input 16" xfId="1391"/>
    <cellStyle name="Input 17" xfId="1392"/>
    <cellStyle name="Input 18" xfId="1393"/>
    <cellStyle name="Input 19" xfId="1394"/>
    <cellStyle name="Input 2" xfId="1395"/>
    <cellStyle name="Input 20" xfId="1396"/>
    <cellStyle name="Input 21" xfId="1397"/>
    <cellStyle name="Input 22" xfId="1398"/>
    <cellStyle name="Input 23" xfId="1399"/>
    <cellStyle name="Input 24" xfId="1400"/>
    <cellStyle name="Input 25" xfId="1401"/>
    <cellStyle name="Input 26" xfId="1402"/>
    <cellStyle name="Input 27" xfId="1403"/>
    <cellStyle name="Input 28" xfId="1404"/>
    <cellStyle name="Input 29" xfId="1405"/>
    <cellStyle name="Input 3" xfId="1406"/>
    <cellStyle name="Input 30" xfId="1407"/>
    <cellStyle name="Input 31" xfId="1408"/>
    <cellStyle name="Input 32" xfId="1409"/>
    <cellStyle name="Input 33" xfId="1410"/>
    <cellStyle name="Input 34" xfId="1411"/>
    <cellStyle name="Input 35" xfId="1412"/>
    <cellStyle name="Input 36" xfId="1413"/>
    <cellStyle name="Input 37" xfId="1414"/>
    <cellStyle name="Input 38" xfId="1415"/>
    <cellStyle name="Input 39" xfId="1416"/>
    <cellStyle name="Input 4" xfId="1417"/>
    <cellStyle name="Input 40" xfId="1418"/>
    <cellStyle name="Input 5" xfId="1419"/>
    <cellStyle name="Input 6" xfId="1420"/>
    <cellStyle name="Input 7" xfId="1421"/>
    <cellStyle name="Input 8" xfId="1422"/>
    <cellStyle name="Input 9" xfId="1423"/>
    <cellStyle name="InputBlueFont" xfId="1424"/>
    <cellStyle name="Linked Cell 10" xfId="1425"/>
    <cellStyle name="Linked Cell 11" xfId="1426"/>
    <cellStyle name="Linked Cell 12" xfId="1427"/>
    <cellStyle name="Linked Cell 13" xfId="1428"/>
    <cellStyle name="Linked Cell 14" xfId="1429"/>
    <cellStyle name="Linked Cell 15" xfId="1430"/>
    <cellStyle name="Linked Cell 16" xfId="1431"/>
    <cellStyle name="Linked Cell 17" xfId="1432"/>
    <cellStyle name="Linked Cell 18" xfId="1433"/>
    <cellStyle name="Linked Cell 19" xfId="1434"/>
    <cellStyle name="Linked Cell 2" xfId="1435"/>
    <cellStyle name="Linked Cell 20" xfId="1436"/>
    <cellStyle name="Linked Cell 21" xfId="1437"/>
    <cellStyle name="Linked Cell 22" xfId="1438"/>
    <cellStyle name="Linked Cell 23" xfId="1439"/>
    <cellStyle name="Linked Cell 24" xfId="1440"/>
    <cellStyle name="Linked Cell 25" xfId="1441"/>
    <cellStyle name="Linked Cell 26" xfId="1442"/>
    <cellStyle name="Linked Cell 27" xfId="1443"/>
    <cellStyle name="Linked Cell 28" xfId="1444"/>
    <cellStyle name="Linked Cell 29" xfId="1445"/>
    <cellStyle name="Linked Cell 3" xfId="1446"/>
    <cellStyle name="Linked Cell 30" xfId="1447"/>
    <cellStyle name="Linked Cell 31" xfId="1448"/>
    <cellStyle name="Linked Cell 32" xfId="1449"/>
    <cellStyle name="Linked Cell 33" xfId="1450"/>
    <cellStyle name="Linked Cell 34" xfId="1451"/>
    <cellStyle name="Linked Cell 35" xfId="1452"/>
    <cellStyle name="Linked Cell 36" xfId="1453"/>
    <cellStyle name="Linked Cell 37" xfId="1454"/>
    <cellStyle name="Linked Cell 38" xfId="1455"/>
    <cellStyle name="Linked Cell 39" xfId="1456"/>
    <cellStyle name="Linked Cell 4" xfId="1457"/>
    <cellStyle name="Linked Cell 40" xfId="1458"/>
    <cellStyle name="Linked Cell 5" xfId="1459"/>
    <cellStyle name="Linked Cell 6" xfId="1460"/>
    <cellStyle name="Linked Cell 7" xfId="1461"/>
    <cellStyle name="Linked Cell 8" xfId="1462"/>
    <cellStyle name="Linked Cell 9" xfId="1463"/>
    <cellStyle name="Millares [0]_laroux" xfId="1464"/>
    <cellStyle name="Millares_laroux" xfId="1465"/>
    <cellStyle name="Moneda [0]_laroux" xfId="1466"/>
    <cellStyle name="Moneda_laroux" xfId="1467"/>
    <cellStyle name="Neutral 10" xfId="1468"/>
    <cellStyle name="Neutral 11" xfId="1469"/>
    <cellStyle name="Neutral 12" xfId="1470"/>
    <cellStyle name="Neutral 13" xfId="1471"/>
    <cellStyle name="Neutral 14" xfId="1472"/>
    <cellStyle name="Neutral 15" xfId="1473"/>
    <cellStyle name="Neutral 16" xfId="1474"/>
    <cellStyle name="Neutral 17" xfId="1475"/>
    <cellStyle name="Neutral 18" xfId="1476"/>
    <cellStyle name="Neutral 19" xfId="1477"/>
    <cellStyle name="Neutral 2" xfId="1478"/>
    <cellStyle name="Neutral 20" xfId="1479"/>
    <cellStyle name="Neutral 21" xfId="1480"/>
    <cellStyle name="Neutral 22" xfId="1481"/>
    <cellStyle name="Neutral 23" xfId="1482"/>
    <cellStyle name="Neutral 24" xfId="1483"/>
    <cellStyle name="Neutral 25" xfId="1484"/>
    <cellStyle name="Neutral 26" xfId="1485"/>
    <cellStyle name="Neutral 27" xfId="1486"/>
    <cellStyle name="Neutral 28" xfId="1487"/>
    <cellStyle name="Neutral 29" xfId="1488"/>
    <cellStyle name="Neutral 3" xfId="1489"/>
    <cellStyle name="Neutral 30" xfId="1490"/>
    <cellStyle name="Neutral 31" xfId="1491"/>
    <cellStyle name="Neutral 32" xfId="1492"/>
    <cellStyle name="Neutral 33" xfId="1493"/>
    <cellStyle name="Neutral 34" xfId="1494"/>
    <cellStyle name="Neutral 35" xfId="1495"/>
    <cellStyle name="Neutral 36" xfId="1496"/>
    <cellStyle name="Neutral 37" xfId="1497"/>
    <cellStyle name="Neutral 38" xfId="1498"/>
    <cellStyle name="Neutral 39" xfId="1499"/>
    <cellStyle name="Neutral 4" xfId="1500"/>
    <cellStyle name="Neutral 40" xfId="1501"/>
    <cellStyle name="Neutral 5" xfId="1502"/>
    <cellStyle name="Neutral 6" xfId="1503"/>
    <cellStyle name="Neutral 7" xfId="1504"/>
    <cellStyle name="Neutral 8" xfId="1505"/>
    <cellStyle name="Neutral 9" xfId="1506"/>
    <cellStyle name="Normal" xfId="0" builtinId="0"/>
    <cellStyle name="Normal - Style1" xfId="1507"/>
    <cellStyle name="Normal 10" xfId="1508"/>
    <cellStyle name="Normal 10 2" xfId="1509"/>
    <cellStyle name="Normal 11" xfId="1510"/>
    <cellStyle name="Normal 11 2" xfId="1511"/>
    <cellStyle name="Normal 12" xfId="1512"/>
    <cellStyle name="Normal 12 2" xfId="1513"/>
    <cellStyle name="Normal 13" xfId="1514"/>
    <cellStyle name="Normal 13 2" xfId="1515"/>
    <cellStyle name="Normal 14" xfId="1516"/>
    <cellStyle name="Normal 14 2" xfId="1517"/>
    <cellStyle name="Normal 15" xfId="1518"/>
    <cellStyle name="Normal 15 2" xfId="1519"/>
    <cellStyle name="Normal 16" xfId="1520"/>
    <cellStyle name="Normal 16 2" xfId="1521"/>
    <cellStyle name="Normal 17" xfId="1522"/>
    <cellStyle name="Normal 18" xfId="1523"/>
    <cellStyle name="Normal 19" xfId="1524"/>
    <cellStyle name="Normal 2" xfId="1525"/>
    <cellStyle name="Normal 2 10" xfId="1526"/>
    <cellStyle name="Normal 2 11" xfId="1527"/>
    <cellStyle name="Normal 2 12" xfId="1528"/>
    <cellStyle name="Normal 2 13" xfId="1529"/>
    <cellStyle name="Normal 2 14" xfId="1530"/>
    <cellStyle name="Normal 2 15" xfId="1531"/>
    <cellStyle name="Normal 2 16" xfId="1532"/>
    <cellStyle name="Normal 2 17" xfId="1533"/>
    <cellStyle name="Normal 2 18" xfId="1534"/>
    <cellStyle name="Normal 2 19" xfId="1535"/>
    <cellStyle name="Normal 2 2" xfId="1536"/>
    <cellStyle name="Normal 2 2 2" xfId="1899"/>
    <cellStyle name="Normal 2 20" xfId="1537"/>
    <cellStyle name="Normal 2 21" xfId="1538"/>
    <cellStyle name="Normal 2 22" xfId="1539"/>
    <cellStyle name="Normal 2 23" xfId="1540"/>
    <cellStyle name="Normal 2 24" xfId="1541"/>
    <cellStyle name="Normal 2 25" xfId="1542"/>
    <cellStyle name="Normal 2 26" xfId="1543"/>
    <cellStyle name="Normal 2 27" xfId="1544"/>
    <cellStyle name="Normal 2 28" xfId="1545"/>
    <cellStyle name="Normal 2 29" xfId="1546"/>
    <cellStyle name="Normal 2 3" xfId="1547"/>
    <cellStyle name="Normal 2 3 2" xfId="1900"/>
    <cellStyle name="Normal 2 30" xfId="1548"/>
    <cellStyle name="Normal 2 31" xfId="1549"/>
    <cellStyle name="Normal 2 32" xfId="1550"/>
    <cellStyle name="Normal 2 33" xfId="1551"/>
    <cellStyle name="Normal 2 34" xfId="1552"/>
    <cellStyle name="Normal 2 35" xfId="1553"/>
    <cellStyle name="Normal 2 36" xfId="1554"/>
    <cellStyle name="Normal 2 37" xfId="1555"/>
    <cellStyle name="Normal 2 38" xfId="1556"/>
    <cellStyle name="Normal 2 39" xfId="1557"/>
    <cellStyle name="Normal 2 4" xfId="1558"/>
    <cellStyle name="Normal 2 40" xfId="1559"/>
    <cellStyle name="Normal 2 41" xfId="1560"/>
    <cellStyle name="Normal 2 5" xfId="1561"/>
    <cellStyle name="Normal 2 6" xfId="1562"/>
    <cellStyle name="Normal 2 7" xfId="1563"/>
    <cellStyle name="Normal 2 8" xfId="1564"/>
    <cellStyle name="Normal 2 9" xfId="1565"/>
    <cellStyle name="Normal 2_Data" xfId="1566"/>
    <cellStyle name="Normal 20" xfId="1567"/>
    <cellStyle name="Normal 20 2" xfId="1568"/>
    <cellStyle name="Normal 21" xfId="1569"/>
    <cellStyle name="Normal 22" xfId="1570"/>
    <cellStyle name="Normal 23" xfId="1571"/>
    <cellStyle name="Normal 23 2" xfId="1572"/>
    <cellStyle name="Normal 24" xfId="1573"/>
    <cellStyle name="Normal 25" xfId="1574"/>
    <cellStyle name="Normal 26" xfId="1575"/>
    <cellStyle name="Normal 26 2" xfId="1576"/>
    <cellStyle name="Normal 27" xfId="1577"/>
    <cellStyle name="Normal 27 2" xfId="1578"/>
    <cellStyle name="Normal 28" xfId="1579"/>
    <cellStyle name="Normal 29" xfId="1580"/>
    <cellStyle name="Normal 3" xfId="1581"/>
    <cellStyle name="Normal 3 2" xfId="1913"/>
    <cellStyle name="Normal 30" xfId="1582"/>
    <cellStyle name="Normal 30 2" xfId="1583"/>
    <cellStyle name="Normal 31" xfId="1584"/>
    <cellStyle name="Normal 31 2" xfId="1585"/>
    <cellStyle name="Normal 32" xfId="1586"/>
    <cellStyle name="Normal 32 2" xfId="1587"/>
    <cellStyle name="Normal 33" xfId="1588"/>
    <cellStyle name="Normal 33 2" xfId="1589"/>
    <cellStyle name="Normal 34" xfId="1895"/>
    <cellStyle name="Normal 34 2" xfId="1897"/>
    <cellStyle name="Normal 35" xfId="1903"/>
    <cellStyle name="Normal 36" xfId="1917"/>
    <cellStyle name="Normal 37" xfId="1923"/>
    <cellStyle name="Normal 38" xfId="1925"/>
    <cellStyle name="Normal 39" xfId="1924"/>
    <cellStyle name="Normal 4" xfId="1590"/>
    <cellStyle name="Normal 4 2" xfId="1591"/>
    <cellStyle name="Normal 4 3" xfId="1912"/>
    <cellStyle name="Normal 40" xfId="1932"/>
    <cellStyle name="Normal 5" xfId="1592"/>
    <cellStyle name="Normal 5 2" xfId="1593"/>
    <cellStyle name="Normal 6" xfId="1594"/>
    <cellStyle name="Normal 6 2" xfId="1595"/>
    <cellStyle name="Normal 7" xfId="1596"/>
    <cellStyle name="Normal 7 2" xfId="1597"/>
    <cellStyle name="Normal 8" xfId="1598"/>
    <cellStyle name="Normal 8 2" xfId="1599"/>
    <cellStyle name="Normal 9" xfId="1600"/>
    <cellStyle name="Normal 9 2" xfId="1601"/>
    <cellStyle name="Normal_Exhibits" xfId="1896"/>
    <cellStyle name="Note 10" xfId="1602"/>
    <cellStyle name="Note 11" xfId="1603"/>
    <cellStyle name="Note 12" xfId="1604"/>
    <cellStyle name="Note 13" xfId="1605"/>
    <cellStyle name="Note 14" xfId="1606"/>
    <cellStyle name="Note 15" xfId="1607"/>
    <cellStyle name="Note 16" xfId="1608"/>
    <cellStyle name="Note 17" xfId="1609"/>
    <cellStyle name="Note 18" xfId="1610"/>
    <cellStyle name="Note 19" xfId="1611"/>
    <cellStyle name="Note 2" xfId="1612"/>
    <cellStyle name="Note 2 10" xfId="1613"/>
    <cellStyle name="Note 2 11" xfId="1614"/>
    <cellStyle name="Note 2 12" xfId="1615"/>
    <cellStyle name="Note 2 13" xfId="1616"/>
    <cellStyle name="Note 2 14" xfId="1617"/>
    <cellStyle name="Note 2 15" xfId="1618"/>
    <cellStyle name="Note 2 16" xfId="1619"/>
    <cellStyle name="Note 2 17" xfId="1620"/>
    <cellStyle name="Note 2 18" xfId="1621"/>
    <cellStyle name="Note 2 19" xfId="1622"/>
    <cellStyle name="Note 2 2" xfId="1623"/>
    <cellStyle name="Note 2 20" xfId="1624"/>
    <cellStyle name="Note 2 21" xfId="1625"/>
    <cellStyle name="Note 2 22" xfId="1626"/>
    <cellStyle name="Note 2 23" xfId="1627"/>
    <cellStyle name="Note 2 24" xfId="1628"/>
    <cellStyle name="Note 2 25" xfId="1629"/>
    <cellStyle name="Note 2 26" xfId="1630"/>
    <cellStyle name="Note 2 27" xfId="1631"/>
    <cellStyle name="Note 2 28" xfId="1632"/>
    <cellStyle name="Note 2 29" xfId="1633"/>
    <cellStyle name="Note 2 3" xfId="1634"/>
    <cellStyle name="Note 2 30" xfId="1635"/>
    <cellStyle name="Note 2 31" xfId="1636"/>
    <cellStyle name="Note 2 32" xfId="1637"/>
    <cellStyle name="Note 2 33" xfId="1638"/>
    <cellStyle name="Note 2 34" xfId="1639"/>
    <cellStyle name="Note 2 35" xfId="1640"/>
    <cellStyle name="Note 2 36" xfId="1641"/>
    <cellStyle name="Note 2 37" xfId="1642"/>
    <cellStyle name="Note 2 38" xfId="1643"/>
    <cellStyle name="Note 2 39" xfId="1644"/>
    <cellStyle name="Note 2 4" xfId="1645"/>
    <cellStyle name="Note 2 40" xfId="1646"/>
    <cellStyle name="Note 2 41" xfId="1919"/>
    <cellStyle name="Note 2 5" xfId="1647"/>
    <cellStyle name="Note 2 6" xfId="1648"/>
    <cellStyle name="Note 2 7" xfId="1649"/>
    <cellStyle name="Note 2 8" xfId="1650"/>
    <cellStyle name="Note 2 9" xfId="1651"/>
    <cellStyle name="Note 20" xfId="1652"/>
    <cellStyle name="Note 21" xfId="1653"/>
    <cellStyle name="Note 22" xfId="1654"/>
    <cellStyle name="Note 23" xfId="1655"/>
    <cellStyle name="Note 24" xfId="1656"/>
    <cellStyle name="Note 25" xfId="1657"/>
    <cellStyle name="Note 26" xfId="1658"/>
    <cellStyle name="Note 27" xfId="1659"/>
    <cellStyle name="Note 28" xfId="1660"/>
    <cellStyle name="Note 29" xfId="1661"/>
    <cellStyle name="Note 3" xfId="1662"/>
    <cellStyle name="Note 30" xfId="1663"/>
    <cellStyle name="Note 31" xfId="1664"/>
    <cellStyle name="Note 32" xfId="1665"/>
    <cellStyle name="Note 33" xfId="1666"/>
    <cellStyle name="Note 34" xfId="1667"/>
    <cellStyle name="Note 35" xfId="1668"/>
    <cellStyle name="Note 36" xfId="1669"/>
    <cellStyle name="Note 37" xfId="1670"/>
    <cellStyle name="Note 38" xfId="1671"/>
    <cellStyle name="Note 39" xfId="1672"/>
    <cellStyle name="Note 4" xfId="1673"/>
    <cellStyle name="Note 40" xfId="1674"/>
    <cellStyle name="Note 41" xfId="1675"/>
    <cellStyle name="Note 42" xfId="1676"/>
    <cellStyle name="Note 43" xfId="1677"/>
    <cellStyle name="Note 44" xfId="1678"/>
    <cellStyle name="Note 45" xfId="1679"/>
    <cellStyle name="Note 5" xfId="1680"/>
    <cellStyle name="Note 6" xfId="1681"/>
    <cellStyle name="Note 7" xfId="1682"/>
    <cellStyle name="Note 8" xfId="1683"/>
    <cellStyle name="Note 9" xfId="1684"/>
    <cellStyle name="Numbers" xfId="1685"/>
    <cellStyle name="Œ…‹æØ‚è [0.00]_PRODUCT DETAIL Q1" xfId="1686"/>
    <cellStyle name="Œ…‹æØ‚è_PRODUCT DETAIL Q1" xfId="1687"/>
    <cellStyle name="Output 10" xfId="1688"/>
    <cellStyle name="Output 11" xfId="1689"/>
    <cellStyle name="Output 12" xfId="1690"/>
    <cellStyle name="Output 13" xfId="1691"/>
    <cellStyle name="Output 14" xfId="1692"/>
    <cellStyle name="Output 15" xfId="1693"/>
    <cellStyle name="Output 16" xfId="1694"/>
    <cellStyle name="Output 17" xfId="1695"/>
    <cellStyle name="Output 18" xfId="1696"/>
    <cellStyle name="Output 19" xfId="1697"/>
    <cellStyle name="Output 2" xfId="1698"/>
    <cellStyle name="Output 20" xfId="1699"/>
    <cellStyle name="Output 21" xfId="1700"/>
    <cellStyle name="Output 22" xfId="1701"/>
    <cellStyle name="Output 23" xfId="1702"/>
    <cellStyle name="Output 24" xfId="1703"/>
    <cellStyle name="Output 25" xfId="1704"/>
    <cellStyle name="Output 26" xfId="1705"/>
    <cellStyle name="Output 27" xfId="1706"/>
    <cellStyle name="Output 28" xfId="1707"/>
    <cellStyle name="Output 29" xfId="1708"/>
    <cellStyle name="Output 3" xfId="1709"/>
    <cellStyle name="Output 30" xfId="1710"/>
    <cellStyle name="Output 31" xfId="1711"/>
    <cellStyle name="Output 32" xfId="1712"/>
    <cellStyle name="Output 33" xfId="1713"/>
    <cellStyle name="Output 34" xfId="1714"/>
    <cellStyle name="Output 35" xfId="1715"/>
    <cellStyle name="Output 36" xfId="1716"/>
    <cellStyle name="Output 37" xfId="1717"/>
    <cellStyle name="Output 38" xfId="1718"/>
    <cellStyle name="Output 39" xfId="1719"/>
    <cellStyle name="Output 4" xfId="1720"/>
    <cellStyle name="Output 40" xfId="1721"/>
    <cellStyle name="Output 5" xfId="1722"/>
    <cellStyle name="Output 6" xfId="1723"/>
    <cellStyle name="Output 7" xfId="1724"/>
    <cellStyle name="Output 8" xfId="1725"/>
    <cellStyle name="Output 9" xfId="1726"/>
    <cellStyle name="Percent" xfId="1898" builtinId="5"/>
    <cellStyle name="Percent 2" xfId="1727"/>
    <cellStyle name="Price" xfId="1728"/>
    <cellStyle name="producto" xfId="1729"/>
    <cellStyle name="s" xfId="1730"/>
    <cellStyle name="s_B" xfId="1731"/>
    <cellStyle name="s_Bal Sheets" xfId="1732"/>
    <cellStyle name="s_Bal Sheets_1" xfId="1733"/>
    <cellStyle name="s_Bal Sheets_2" xfId="1734"/>
    <cellStyle name="s_Credit (2)" xfId="1735"/>
    <cellStyle name="s_Credit (2)_1" xfId="1736"/>
    <cellStyle name="s_Credit (2)_2" xfId="1737"/>
    <cellStyle name="s_Earnings" xfId="1738"/>
    <cellStyle name="s_Earnings (2)" xfId="1739"/>
    <cellStyle name="s_Earnings (2)_1" xfId="1740"/>
    <cellStyle name="s_Earnings_1" xfId="1741"/>
    <cellStyle name="s_finsumm" xfId="1742"/>
    <cellStyle name="s_finsumm_1" xfId="1743"/>
    <cellStyle name="s_finsumm_2" xfId="1744"/>
    <cellStyle name="s_GoroWipTax-to2050_fromCo_Oct21_99" xfId="1745"/>
    <cellStyle name="s_Hist Inputs (2)" xfId="1746"/>
    <cellStyle name="s_Hist Inputs (2)_1" xfId="1747"/>
    <cellStyle name="s_IEL_finsumm" xfId="1748"/>
    <cellStyle name="s_IEL_finsumm_1" xfId="1749"/>
    <cellStyle name="s_IEL_finsumm_2" xfId="1750"/>
    <cellStyle name="s_IEL_finsumm1" xfId="1751"/>
    <cellStyle name="s_IEL_finsumm1_1" xfId="1752"/>
    <cellStyle name="s_IEL_finsumm1_2" xfId="1753"/>
    <cellStyle name="s_Lbo" xfId="1754"/>
    <cellStyle name="s_LBO Summary" xfId="1755"/>
    <cellStyle name="s_LBO Summary_1" xfId="1756"/>
    <cellStyle name="s_LBO Summary_2" xfId="1757"/>
    <cellStyle name="s_Lbo_1" xfId="1758"/>
    <cellStyle name="s_rvr_analysis_andrew" xfId="1759"/>
    <cellStyle name="s_Schedules" xfId="1760"/>
    <cellStyle name="s_Schedules_1" xfId="1761"/>
    <cellStyle name="s_Trans Assump" xfId="1762"/>
    <cellStyle name="s_Trans Assump (2)" xfId="1763"/>
    <cellStyle name="s_Trans Assump (2)_1" xfId="1764"/>
    <cellStyle name="s_Trans Assump_1" xfId="1765"/>
    <cellStyle name="s_Trans Sum" xfId="1766"/>
    <cellStyle name="s_Trans Sum_1" xfId="1767"/>
    <cellStyle name="s_Unit Price Sen. (2)" xfId="1768"/>
    <cellStyle name="s_Unit Price Sen. (2)_1" xfId="1769"/>
    <cellStyle name="s_Unit Price Sen. (2)_2" xfId="1770"/>
    <cellStyle name="SAPDataCell" xfId="1902"/>
    <cellStyle name="SAPDataTotalCell" xfId="1908"/>
    <cellStyle name="SAPDimensionCell" xfId="1904"/>
    <cellStyle name="SAPEmphasized" xfId="1906"/>
    <cellStyle name="SAPHierarchyCell2" xfId="1911"/>
    <cellStyle name="SAPHierarchyCell3" xfId="1910"/>
    <cellStyle name="SAPHierarchyCell4" xfId="1909"/>
    <cellStyle name="SAPMemberCell" xfId="1901"/>
    <cellStyle name="SAPMemberTotalCell" xfId="1907"/>
    <cellStyle name="Standard_UB Power - Steuern" xfId="1771"/>
    <cellStyle name="STYLE1" xfId="1772"/>
    <cellStyle name="STYLE2" xfId="1773"/>
    <cellStyle name="STYLE3" xfId="1774"/>
    <cellStyle name="STYLE4" xfId="1775"/>
    <cellStyle name="STYLE5" xfId="1776"/>
    <cellStyle name="t" xfId="1777"/>
    <cellStyle name="Title 10" xfId="1778"/>
    <cellStyle name="Title 11" xfId="1779"/>
    <cellStyle name="Title 12" xfId="1780"/>
    <cellStyle name="Title 13" xfId="1781"/>
    <cellStyle name="Title 14" xfId="1782"/>
    <cellStyle name="Title 15" xfId="1783"/>
    <cellStyle name="Title 16" xfId="1784"/>
    <cellStyle name="Title 17" xfId="1785"/>
    <cellStyle name="Title 18" xfId="1786"/>
    <cellStyle name="Title 19" xfId="1787"/>
    <cellStyle name="Title 2" xfId="1788"/>
    <cellStyle name="Title 20" xfId="1789"/>
    <cellStyle name="Title 21" xfId="1790"/>
    <cellStyle name="Title 22" xfId="1791"/>
    <cellStyle name="Title 23" xfId="1792"/>
    <cellStyle name="Title 24" xfId="1793"/>
    <cellStyle name="Title 25" xfId="1794"/>
    <cellStyle name="Title 26" xfId="1795"/>
    <cellStyle name="Title 27" xfId="1796"/>
    <cellStyle name="Title 28" xfId="1797"/>
    <cellStyle name="Title 29" xfId="1798"/>
    <cellStyle name="Title 3" xfId="1799"/>
    <cellStyle name="Title 30" xfId="1800"/>
    <cellStyle name="Title 31" xfId="1801"/>
    <cellStyle name="Title 32" xfId="1802"/>
    <cellStyle name="Title 33" xfId="1803"/>
    <cellStyle name="Title 34" xfId="1804"/>
    <cellStyle name="Title 35" xfId="1805"/>
    <cellStyle name="Title 36" xfId="1806"/>
    <cellStyle name="Title 37" xfId="1807"/>
    <cellStyle name="Title 38" xfId="1808"/>
    <cellStyle name="Title 39" xfId="1809"/>
    <cellStyle name="Title 4" xfId="1810"/>
    <cellStyle name="Title 40" xfId="1811"/>
    <cellStyle name="Title 5" xfId="1812"/>
    <cellStyle name="Title 6" xfId="1813"/>
    <cellStyle name="Title 7" xfId="1814"/>
    <cellStyle name="Title 8" xfId="1815"/>
    <cellStyle name="Title 9" xfId="1816"/>
    <cellStyle name="Total 10" xfId="1817"/>
    <cellStyle name="Total 11" xfId="1818"/>
    <cellStyle name="Total 12" xfId="1819"/>
    <cellStyle name="Total 13" xfId="1820"/>
    <cellStyle name="Total 14" xfId="1821"/>
    <cellStyle name="Total 15" xfId="1822"/>
    <cellStyle name="Total 16" xfId="1823"/>
    <cellStyle name="Total 17" xfId="1824"/>
    <cellStyle name="Total 18" xfId="1825"/>
    <cellStyle name="Total 19" xfId="1826"/>
    <cellStyle name="Total 2" xfId="1827"/>
    <cellStyle name="Total 20" xfId="1828"/>
    <cellStyle name="Total 21" xfId="1829"/>
    <cellStyle name="Total 22" xfId="1830"/>
    <cellStyle name="Total 23" xfId="1831"/>
    <cellStyle name="Total 24" xfId="1832"/>
    <cellStyle name="Total 25" xfId="1833"/>
    <cellStyle name="Total 26" xfId="1834"/>
    <cellStyle name="Total 27" xfId="1835"/>
    <cellStyle name="Total 28" xfId="1836"/>
    <cellStyle name="Total 29" xfId="1837"/>
    <cellStyle name="Total 3" xfId="1838"/>
    <cellStyle name="Total 30" xfId="1839"/>
    <cellStyle name="Total 31" xfId="1840"/>
    <cellStyle name="Total 32" xfId="1841"/>
    <cellStyle name="Total 33" xfId="1842"/>
    <cellStyle name="Total 34" xfId="1843"/>
    <cellStyle name="Total 35" xfId="1844"/>
    <cellStyle name="Total 36" xfId="1845"/>
    <cellStyle name="Total 37" xfId="1846"/>
    <cellStyle name="Total 38" xfId="1847"/>
    <cellStyle name="Total 39" xfId="1848"/>
    <cellStyle name="Total 4" xfId="1849"/>
    <cellStyle name="Total 40" xfId="1850"/>
    <cellStyle name="Total 5" xfId="1851"/>
    <cellStyle name="Total 6" xfId="1852"/>
    <cellStyle name="Total 7" xfId="1853"/>
    <cellStyle name="Total 8" xfId="1854"/>
    <cellStyle name="Total 9" xfId="1855"/>
    <cellStyle name="Warning Text 10" xfId="1856"/>
    <cellStyle name="Warning Text 11" xfId="1857"/>
    <cellStyle name="Warning Text 12" xfId="1858"/>
    <cellStyle name="Warning Text 13" xfId="1859"/>
    <cellStyle name="Warning Text 14" xfId="1860"/>
    <cellStyle name="Warning Text 15" xfId="1861"/>
    <cellStyle name="Warning Text 16" xfId="1862"/>
    <cellStyle name="Warning Text 17" xfId="1863"/>
    <cellStyle name="Warning Text 18" xfId="1864"/>
    <cellStyle name="Warning Text 19" xfId="1865"/>
    <cellStyle name="Warning Text 2" xfId="1866"/>
    <cellStyle name="Warning Text 20" xfId="1867"/>
    <cellStyle name="Warning Text 21" xfId="1868"/>
    <cellStyle name="Warning Text 22" xfId="1869"/>
    <cellStyle name="Warning Text 23" xfId="1870"/>
    <cellStyle name="Warning Text 24" xfId="1871"/>
    <cellStyle name="Warning Text 25" xfId="1872"/>
    <cellStyle name="Warning Text 26" xfId="1873"/>
    <cellStyle name="Warning Text 27" xfId="1874"/>
    <cellStyle name="Warning Text 28" xfId="1875"/>
    <cellStyle name="Warning Text 29" xfId="1876"/>
    <cellStyle name="Warning Text 3" xfId="1877"/>
    <cellStyle name="Warning Text 30" xfId="1878"/>
    <cellStyle name="Warning Text 31" xfId="1879"/>
    <cellStyle name="Warning Text 32" xfId="1880"/>
    <cellStyle name="Warning Text 33" xfId="1881"/>
    <cellStyle name="Warning Text 34" xfId="1882"/>
    <cellStyle name="Warning Text 35" xfId="1883"/>
    <cellStyle name="Warning Text 36" xfId="1884"/>
    <cellStyle name="Warning Text 37" xfId="1885"/>
    <cellStyle name="Warning Text 38" xfId="1886"/>
    <cellStyle name="Warning Text 39" xfId="1887"/>
    <cellStyle name="Warning Text 4" xfId="1888"/>
    <cellStyle name="Warning Text 40" xfId="1889"/>
    <cellStyle name="Warning Text 5" xfId="1890"/>
    <cellStyle name="Warning Text 6" xfId="1891"/>
    <cellStyle name="Warning Text 7" xfId="1892"/>
    <cellStyle name="Warning Text 8" xfId="1893"/>
    <cellStyle name="Warning Text 9" xfId="1894"/>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Y/2018%20Water%20Rate%20Case/Discovery/PSC/PSC%20DR2-3/Exhibits/2018%20KY%20Constants_Financial%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Y/2018%20Water%20Rate%20Case/Discovery/PSC/PSC%20DR2-3/Exhibits/KAWC%202018%20Rate%20Case%20-%20Income%20State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Y/2018%20Water%20Rate%20Case/Discovery/PSC/PSC%20DR2-3/Exhibits/Rate%20Base/KAWC%202018%20Rate%20Case%20-%20Exhibit%2037%20Schedules%20B1%20-%20B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Y/2018%20Water%20Rate%20Case/Discovery/PSC/PSC%20DR2-3/Exhibits/Capital%20Structure/KAWC%202018%20Rate%20Case%20-%20Capital%20Structu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ferred%20Taxes%202018-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Y/2018%20Water%20Rate%20Case/Discovery/PSC/PSC%20DR2-3/Exhibits/Rate%20Base/KAWC%202018%20Rate%20Case%20-%20Deferred%20Maintenanc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Y/2018%20Water%20Rate%20Case/Discovery/PSC/PSC%20DR2-3/Exhibits/Rate%20Base/KAWC%202018%20Rate%20Case%20-%20Capital-Depr%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Constants"/>
      <sheetName val="Link Out WP"/>
      <sheetName val="Link Out Filing Exhibits"/>
      <sheetName val="Link Out Monthly BY"/>
      <sheetName val="Link Out Forecast"/>
      <sheetName val="Link Out North Middletown"/>
      <sheetName val="Link Out System Delivery"/>
      <sheetName val="Link Out Rev Req"/>
      <sheetName val="Link Out Carlisle"/>
      <sheetName val="Link Out BY"/>
      <sheetName val="2018 KY Constants_Financial Dat"/>
    </sheetNames>
    <sheetDataSet>
      <sheetData sheetId="0">
        <row r="9">
          <cell r="A9" t="str">
            <v>Company Title:</v>
          </cell>
          <cell r="C9" t="str">
            <v>Kentucky American Water Company</v>
          </cell>
        </row>
        <row r="10">
          <cell r="C10" t="str">
            <v>KENTUCKY AMERICAN WATER COMPANY</v>
          </cell>
        </row>
        <row r="11">
          <cell r="C11" t="str">
            <v>Case No. 2018-00358</v>
          </cell>
        </row>
        <row r="12">
          <cell r="C12">
            <v>43524</v>
          </cell>
        </row>
        <row r="13">
          <cell r="C13" t="str">
            <v>June 30, 2020</v>
          </cell>
        </row>
        <row r="14">
          <cell r="C14" t="str">
            <v>For the 12 Months Ending June 30, 2020</v>
          </cell>
        </row>
        <row r="15">
          <cell r="C15" t="str">
            <v>Base Year for the 12 Months Ended February 28, 2019</v>
          </cell>
          <cell r="D15" t="str">
            <v>Base Year at 2/28/19</v>
          </cell>
          <cell r="E15" t="str">
            <v>Base Year for the 12 Months Ended 2/28/19</v>
          </cell>
        </row>
        <row r="16">
          <cell r="C16" t="str">
            <v>Base Year Adjustment</v>
          </cell>
        </row>
        <row r="17">
          <cell r="C17" t="str">
            <v>Forecast Year for the 12 Months Ended June 30, 2020</v>
          </cell>
          <cell r="D17" t="str">
            <v>Forecast Year at 6/30/2020</v>
          </cell>
          <cell r="E17" t="str">
            <v>Forecasted Year at Present Rates</v>
          </cell>
          <cell r="F17" t="str">
            <v>Allocated Forecast Year at 6/30/2020</v>
          </cell>
        </row>
        <row r="18">
          <cell r="C18" t="str">
            <v>Attrition Year Adjustment at Present Rates:</v>
          </cell>
        </row>
        <row r="19">
          <cell r="C19" t="str">
            <v>Attrition Year at Present Rates</v>
          </cell>
        </row>
        <row r="20">
          <cell r="C20" t="str">
            <v>Adjustments for Proposed Rates:</v>
          </cell>
        </row>
        <row r="21">
          <cell r="C21" t="str">
            <v>Attrition Year at Proposed Rates</v>
          </cell>
        </row>
        <row r="24">
          <cell r="C24" t="str">
            <v>Type of Filing: __X__ Original  _____ Updated  _____ Revised</v>
          </cell>
        </row>
        <row r="25">
          <cell r="C25" t="str">
            <v>Type of Filing: _____ Original  __X__ Updated  _____ Revised</v>
          </cell>
        </row>
        <row r="26">
          <cell r="C26" t="str">
            <v>Type of Filing: _____ Original  _____ Updated  __X__ Revised</v>
          </cell>
        </row>
        <row r="30">
          <cell r="A30" t="str">
            <v>Witness Responsible:</v>
          </cell>
        </row>
        <row r="31">
          <cell r="C31" t="str">
            <v>Witness Responsible:   Ann Bulkley</v>
          </cell>
        </row>
        <row r="32">
          <cell r="C32" t="str">
            <v>Witness Responsible:   Brent O'Neill</v>
          </cell>
        </row>
        <row r="33">
          <cell r="C33" t="str">
            <v>Witness Responsible:   Chuck Rea</v>
          </cell>
        </row>
        <row r="34">
          <cell r="C34" t="str">
            <v>Witness Responsible:   Ed Spitznagel</v>
          </cell>
        </row>
        <row r="35">
          <cell r="C35" t="str">
            <v>Witness Responsible:   John Wilde</v>
          </cell>
        </row>
        <row r="36">
          <cell r="C36" t="str">
            <v>Witness Responsible:   Kevin Rogers</v>
          </cell>
        </row>
        <row r="37">
          <cell r="C37" t="str">
            <v>Witness Responsible:   James Pellock</v>
          </cell>
        </row>
        <row r="38">
          <cell r="C38" t="str">
            <v>Witness Responsible:   Robert Mustich</v>
          </cell>
        </row>
        <row r="39">
          <cell r="C39" t="str">
            <v>Witness Responsible:   Melissa Schwarzell</v>
          </cell>
        </row>
        <row r="40">
          <cell r="C40" t="str">
            <v>Witness Responsible:   Pat Baryenbruch</v>
          </cell>
        </row>
        <row r="41">
          <cell r="C41" t="str">
            <v>Witness Responsible:   Nick Rowe</v>
          </cell>
        </row>
        <row r="42">
          <cell r="C42" t="str">
            <v>Witness Responsible:   Scott Rungren</v>
          </cell>
        </row>
      </sheetData>
      <sheetData sheetId="1">
        <row r="21">
          <cell r="F21" t="str">
            <v>W/P - 1-10</v>
          </cell>
        </row>
        <row r="78">
          <cell r="D78" t="str">
            <v>Federal and State Taxes</v>
          </cell>
          <cell r="F78" t="str">
            <v>W/P - 6-1</v>
          </cell>
        </row>
      </sheetData>
      <sheetData sheetId="2">
        <row r="1">
          <cell r="A1" t="str">
            <v>Kentucky American Water Company</v>
          </cell>
        </row>
        <row r="80">
          <cell r="M80" t="str">
            <v>Schedule D-2.3</v>
          </cell>
        </row>
      </sheetData>
      <sheetData sheetId="3">
        <row r="6">
          <cell r="A6" t="str">
            <v>Line</v>
          </cell>
        </row>
        <row r="7">
          <cell r="A7" t="str">
            <v>P02</v>
          </cell>
          <cell r="B7" t="str">
            <v>Water revenues - residential</v>
          </cell>
          <cell r="C7">
            <v>40111000</v>
          </cell>
          <cell r="D7" t="str">
            <v>Res Sales Billed</v>
          </cell>
          <cell r="E7" t="str">
            <v>461.1</v>
          </cell>
          <cell r="R7">
            <v>-49744539</v>
          </cell>
        </row>
        <row r="8">
          <cell r="A8" t="str">
            <v>P02</v>
          </cell>
          <cell r="B8" t="str">
            <v>Water revenues - residential</v>
          </cell>
          <cell r="C8">
            <v>40111100</v>
          </cell>
          <cell r="D8" t="str">
            <v>ResSls Billed Surch</v>
          </cell>
          <cell r="E8" t="str">
            <v>461.1</v>
          </cell>
          <cell r="R8">
            <v>518</v>
          </cell>
        </row>
        <row r="9">
          <cell r="A9" t="str">
            <v>P02</v>
          </cell>
          <cell r="B9" t="str">
            <v>Water revenues - residential</v>
          </cell>
          <cell r="C9">
            <v>40111200</v>
          </cell>
          <cell r="D9" t="str">
            <v>ResSls Billed DSIC</v>
          </cell>
          <cell r="E9" t="str">
            <v>461.1</v>
          </cell>
          <cell r="R9">
            <v>456</v>
          </cell>
        </row>
        <row r="10">
          <cell r="A10" t="str">
            <v>P02</v>
          </cell>
          <cell r="B10" t="str">
            <v>Water revenues - residential</v>
          </cell>
          <cell r="C10">
            <v>40112000</v>
          </cell>
          <cell r="D10" t="str">
            <v>Res Sales Unbilled</v>
          </cell>
          <cell r="E10" t="str">
            <v>461.1</v>
          </cell>
          <cell r="R10">
            <v>-416113</v>
          </cell>
        </row>
        <row r="11">
          <cell r="A11" t="str">
            <v>P02 Total</v>
          </cell>
          <cell r="B11"/>
          <cell r="C11"/>
          <cell r="D11"/>
          <cell r="E11"/>
          <cell r="R11">
            <v>-50159678</v>
          </cell>
        </row>
        <row r="12">
          <cell r="A12" t="str">
            <v>P03</v>
          </cell>
          <cell r="B12" t="str">
            <v>Water revenues - commercial</v>
          </cell>
          <cell r="C12">
            <v>40121000</v>
          </cell>
          <cell r="D12" t="str">
            <v>Com Sales Billed</v>
          </cell>
          <cell r="E12" t="str">
            <v>461.2</v>
          </cell>
          <cell r="R12">
            <v>-22628762</v>
          </cell>
        </row>
        <row r="13">
          <cell r="A13" t="str">
            <v>P03</v>
          </cell>
          <cell r="B13" t="str">
            <v>Water revenues - commercial</v>
          </cell>
          <cell r="C13">
            <v>40122000</v>
          </cell>
          <cell r="D13" t="str">
            <v>Com Sales Unbilled</v>
          </cell>
          <cell r="E13" t="str">
            <v>461.2</v>
          </cell>
          <cell r="R13">
            <v>-427146</v>
          </cell>
        </row>
        <row r="14">
          <cell r="A14" t="str">
            <v>P03 Total</v>
          </cell>
          <cell r="B14"/>
          <cell r="C14"/>
          <cell r="D14"/>
          <cell r="E14"/>
          <cell r="R14">
            <v>-23055908</v>
          </cell>
        </row>
        <row r="15">
          <cell r="A15" t="str">
            <v>P04</v>
          </cell>
          <cell r="B15" t="str">
            <v>Water revenues - industrial</v>
          </cell>
          <cell r="C15">
            <v>40131000</v>
          </cell>
          <cell r="D15" t="str">
            <v>Ind Sales Billed</v>
          </cell>
          <cell r="E15" t="str">
            <v>461.3</v>
          </cell>
          <cell r="R15">
            <v>-2813213</v>
          </cell>
        </row>
        <row r="16">
          <cell r="A16" t="str">
            <v>P04</v>
          </cell>
          <cell r="B16" t="str">
            <v>Water revenues - industrial</v>
          </cell>
          <cell r="C16">
            <v>40132000</v>
          </cell>
          <cell r="D16" t="str">
            <v>Ind Sales Unbilled</v>
          </cell>
          <cell r="E16" t="str">
            <v>461.3</v>
          </cell>
          <cell r="R16">
            <v>-28117</v>
          </cell>
        </row>
        <row r="17">
          <cell r="A17" t="str">
            <v>P04 Total</v>
          </cell>
          <cell r="B17"/>
          <cell r="C17"/>
          <cell r="D17"/>
          <cell r="E17"/>
          <cell r="R17">
            <v>-2841330</v>
          </cell>
        </row>
        <row r="18">
          <cell r="A18" t="str">
            <v>P05</v>
          </cell>
          <cell r="B18" t="str">
            <v>Water revenues - public fire</v>
          </cell>
          <cell r="C18">
            <v>40141000</v>
          </cell>
          <cell r="D18" t="str">
            <v>Publ Fire Billed</v>
          </cell>
          <cell r="E18" t="str">
            <v>462.1</v>
          </cell>
          <cell r="R18">
            <v>-3807205</v>
          </cell>
        </row>
        <row r="19">
          <cell r="A19" t="str">
            <v>P05</v>
          </cell>
          <cell r="B19" t="str">
            <v>Water revenues - public fire</v>
          </cell>
          <cell r="C19">
            <v>40142000</v>
          </cell>
          <cell r="D19" t="str">
            <v>Publ Fire Unbilled</v>
          </cell>
          <cell r="E19" t="str">
            <v>462.1</v>
          </cell>
          <cell r="R19">
            <v>6</v>
          </cell>
        </row>
        <row r="20">
          <cell r="A20" t="str">
            <v>P05 Total</v>
          </cell>
          <cell r="B20"/>
          <cell r="C20"/>
          <cell r="D20"/>
          <cell r="E20"/>
          <cell r="R20">
            <v>-3807199</v>
          </cell>
        </row>
        <row r="21">
          <cell r="A21" t="str">
            <v>P06</v>
          </cell>
          <cell r="B21" t="str">
            <v>Water revenues - private fire</v>
          </cell>
          <cell r="C21">
            <v>40145000</v>
          </cell>
          <cell r="D21" t="str">
            <v>Priv Fire Billed</v>
          </cell>
          <cell r="E21" t="str">
            <v>462.2</v>
          </cell>
          <cell r="R21">
            <v>-2801452</v>
          </cell>
        </row>
        <row r="22">
          <cell r="A22"/>
          <cell r="B22"/>
          <cell r="C22">
            <v>40145100</v>
          </cell>
          <cell r="D22" t="str">
            <v>Priv Fire Billed Sur</v>
          </cell>
          <cell r="E22" t="str">
            <v>462.2</v>
          </cell>
          <cell r="R22">
            <v>0</v>
          </cell>
        </row>
        <row r="23">
          <cell r="A23" t="str">
            <v>P06</v>
          </cell>
          <cell r="B23" t="str">
            <v>Water revenues - private fire</v>
          </cell>
          <cell r="C23">
            <v>40146000</v>
          </cell>
          <cell r="D23" t="str">
            <v>Priv Fire Unbilled</v>
          </cell>
          <cell r="E23" t="str">
            <v>462.2</v>
          </cell>
          <cell r="R23">
            <v>-11165</v>
          </cell>
        </row>
        <row r="24">
          <cell r="A24" t="str">
            <v>P06 Total</v>
          </cell>
          <cell r="B24"/>
          <cell r="C24"/>
          <cell r="D24"/>
          <cell r="E24"/>
          <cell r="R24">
            <v>-2812617</v>
          </cell>
        </row>
        <row r="25">
          <cell r="A25" t="str">
            <v>P07</v>
          </cell>
          <cell r="B25" t="str">
            <v>Water revenues - public authority</v>
          </cell>
          <cell r="C25">
            <v>40151000</v>
          </cell>
          <cell r="D25" t="str">
            <v>Publ Auth Billed</v>
          </cell>
          <cell r="E25" t="str">
            <v>461.4</v>
          </cell>
          <cell r="R25">
            <v>-5785621</v>
          </cell>
        </row>
        <row r="26">
          <cell r="A26" t="str">
            <v>P07</v>
          </cell>
          <cell r="B26" t="str">
            <v>Water revenues - public authority</v>
          </cell>
          <cell r="C26">
            <v>40152000</v>
          </cell>
          <cell r="D26" t="str">
            <v>Publ Auth Unbilled</v>
          </cell>
          <cell r="E26" t="str">
            <v>461.4</v>
          </cell>
          <cell r="R26">
            <v>-271611</v>
          </cell>
        </row>
        <row r="27">
          <cell r="A27" t="str">
            <v>P07 Total</v>
          </cell>
          <cell r="B27"/>
          <cell r="C27"/>
          <cell r="D27"/>
          <cell r="E27"/>
          <cell r="R27">
            <v>-6057232</v>
          </cell>
        </row>
        <row r="28">
          <cell r="A28" t="str">
            <v>P08</v>
          </cell>
          <cell r="B28" t="str">
            <v>Water revenues - sales for resale</v>
          </cell>
          <cell r="C28">
            <v>40161000</v>
          </cell>
          <cell r="D28" t="str">
            <v>Sls/Rsle Billed</v>
          </cell>
          <cell r="E28" t="str">
            <v>466.</v>
          </cell>
          <cell r="R28">
            <v>-1882705</v>
          </cell>
        </row>
        <row r="29">
          <cell r="A29" t="str">
            <v>P08</v>
          </cell>
          <cell r="B29" t="str">
            <v>Water revenues - sales for resale</v>
          </cell>
          <cell r="C29">
            <v>40161050</v>
          </cell>
          <cell r="D29" t="str">
            <v>Sls/Rsle Billed I/C</v>
          </cell>
          <cell r="E29" t="str">
            <v>467.</v>
          </cell>
          <cell r="R29">
            <v>-15096</v>
          </cell>
        </row>
        <row r="30">
          <cell r="A30" t="str">
            <v>P08</v>
          </cell>
          <cell r="B30" t="str">
            <v>Water revenues - sales for resale</v>
          </cell>
          <cell r="C30">
            <v>40162000</v>
          </cell>
          <cell r="D30" t="str">
            <v>SalesforRsle Unbilld</v>
          </cell>
          <cell r="E30" t="str">
            <v>466.</v>
          </cell>
          <cell r="R30">
            <v>-39606</v>
          </cell>
        </row>
        <row r="31">
          <cell r="A31" t="str">
            <v>P08 Total</v>
          </cell>
          <cell r="B31"/>
          <cell r="C31"/>
          <cell r="D31"/>
          <cell r="E31"/>
          <cell r="R31">
            <v>-1937407</v>
          </cell>
        </row>
        <row r="32">
          <cell r="A32" t="str">
            <v>P09</v>
          </cell>
          <cell r="B32" t="str">
            <v>Water revenues - other</v>
          </cell>
          <cell r="C32">
            <v>40171000</v>
          </cell>
          <cell r="D32" t="str">
            <v>Misc Sales Billed</v>
          </cell>
          <cell r="E32" t="str">
            <v>474.</v>
          </cell>
          <cell r="R32">
            <v>-80697</v>
          </cell>
        </row>
        <row r="33">
          <cell r="A33" t="str">
            <v>P09</v>
          </cell>
          <cell r="B33" t="str">
            <v>Water revenues - other</v>
          </cell>
          <cell r="C33">
            <v>40171300</v>
          </cell>
          <cell r="D33" t="str">
            <v>MiscSls Bill Unmtrd</v>
          </cell>
          <cell r="E33" t="str">
            <v>474.</v>
          </cell>
          <cell r="R33">
            <v>-150</v>
          </cell>
        </row>
        <row r="34">
          <cell r="A34" t="str">
            <v>P09</v>
          </cell>
          <cell r="B34" t="str">
            <v>Water revenues - other</v>
          </cell>
          <cell r="C34">
            <v>40172000</v>
          </cell>
          <cell r="D34" t="str">
            <v>Misc Sales Unbilled</v>
          </cell>
          <cell r="E34" t="str">
            <v>474.</v>
          </cell>
          <cell r="R34">
            <v>1430</v>
          </cell>
        </row>
        <row r="35">
          <cell r="A35" t="str">
            <v>P09</v>
          </cell>
          <cell r="B35" t="str">
            <v>Water revenues - other</v>
          </cell>
          <cell r="C35">
            <v>40180100</v>
          </cell>
          <cell r="D35" t="str">
            <v>Oth Wtr Rev-Temp Svc</v>
          </cell>
          <cell r="E35" t="str">
            <v>471.</v>
          </cell>
          <cell r="R35">
            <v>-15</v>
          </cell>
        </row>
        <row r="36">
          <cell r="A36" t="str">
            <v>P09</v>
          </cell>
          <cell r="B36" t="str">
            <v>Water revenues - other</v>
          </cell>
          <cell r="C36">
            <v>40189900</v>
          </cell>
          <cell r="D36" t="str">
            <v>Other Water Revenue</v>
          </cell>
          <cell r="E36" t="str">
            <v>474.</v>
          </cell>
          <cell r="R36">
            <v>1363581</v>
          </cell>
        </row>
        <row r="37">
          <cell r="A37" t="str">
            <v>P09 Total</v>
          </cell>
          <cell r="B37"/>
          <cell r="C37"/>
          <cell r="D37"/>
          <cell r="E37"/>
          <cell r="R37">
            <v>1284149</v>
          </cell>
        </row>
        <row r="38">
          <cell r="A38" t="str">
            <v>P11</v>
          </cell>
          <cell r="B38" t="str">
            <v>Other revenues</v>
          </cell>
          <cell r="C38">
            <v>40310100</v>
          </cell>
          <cell r="D38" t="str">
            <v>OthRev-Late Pymt Fee</v>
          </cell>
          <cell r="E38" t="str">
            <v>470.</v>
          </cell>
          <cell r="R38">
            <v>-837881</v>
          </cell>
        </row>
        <row r="39">
          <cell r="A39" t="str">
            <v>P11</v>
          </cell>
          <cell r="B39" t="str">
            <v>Other revenues</v>
          </cell>
          <cell r="C39">
            <v>40310200</v>
          </cell>
          <cell r="D39" t="str">
            <v>OthRev-Rent</v>
          </cell>
          <cell r="E39" t="str">
            <v>472.</v>
          </cell>
          <cell r="R39">
            <v>-95656</v>
          </cell>
        </row>
        <row r="40">
          <cell r="A40" t="str">
            <v>P11</v>
          </cell>
          <cell r="B40" t="str">
            <v>Other revenues</v>
          </cell>
          <cell r="C40">
            <v>40310250</v>
          </cell>
          <cell r="D40" t="str">
            <v>OthRev-Rent I/C</v>
          </cell>
          <cell r="E40" t="str">
            <v>473.</v>
          </cell>
          <cell r="R40">
            <v>-154932</v>
          </cell>
        </row>
        <row r="41">
          <cell r="A41" t="str">
            <v>P11</v>
          </cell>
          <cell r="B41" t="str">
            <v>Other revenues</v>
          </cell>
          <cell r="C41">
            <v>40310300</v>
          </cell>
          <cell r="D41" t="str">
            <v>OthRev-CFO</v>
          </cell>
          <cell r="E41" t="str">
            <v>471.</v>
          </cell>
          <cell r="R41">
            <v>0</v>
          </cell>
        </row>
        <row r="42">
          <cell r="A42" t="str">
            <v>P11</v>
          </cell>
          <cell r="B42" t="str">
            <v>Other revenues</v>
          </cell>
          <cell r="C42">
            <v>40310400</v>
          </cell>
          <cell r="D42" t="str">
            <v>OthRev-NSF Ck Chrg</v>
          </cell>
          <cell r="E42" t="str">
            <v>471.</v>
          </cell>
          <cell r="R42">
            <v>-30420</v>
          </cell>
        </row>
        <row r="43">
          <cell r="A43" t="str">
            <v>P11</v>
          </cell>
          <cell r="B43" t="str">
            <v>Other revenues</v>
          </cell>
          <cell r="C43">
            <v>40310500</v>
          </cell>
          <cell r="D43" t="str">
            <v>OthRev-Appl/InitFee</v>
          </cell>
          <cell r="E43" t="str">
            <v>471.</v>
          </cell>
          <cell r="R43">
            <v>-776520</v>
          </cell>
        </row>
        <row r="44">
          <cell r="A44" t="str">
            <v>P11</v>
          </cell>
          <cell r="B44" t="str">
            <v>Other revenues</v>
          </cell>
          <cell r="C44">
            <v>40310600</v>
          </cell>
          <cell r="D44" t="str">
            <v>OthRev-Usage Data</v>
          </cell>
          <cell r="E44" t="str">
            <v>471.</v>
          </cell>
          <cell r="R44">
            <v>-51797</v>
          </cell>
        </row>
        <row r="45">
          <cell r="A45" t="str">
            <v>P11</v>
          </cell>
          <cell r="B45" t="str">
            <v>Other revenues</v>
          </cell>
          <cell r="C45">
            <v>40310700</v>
          </cell>
          <cell r="D45" t="str">
            <v>OthRev-Reconnct Fee</v>
          </cell>
          <cell r="E45" t="str">
            <v>471.</v>
          </cell>
          <cell r="R45">
            <v>-573394</v>
          </cell>
        </row>
        <row r="46">
          <cell r="A46" t="str">
            <v>P11</v>
          </cell>
          <cell r="B46" t="str">
            <v>Other revenues</v>
          </cell>
          <cell r="C46">
            <v>40310800</v>
          </cell>
          <cell r="D46" t="str">
            <v>OthRev-Frozen Mtr</v>
          </cell>
          <cell r="E46" t="str">
            <v>471.</v>
          </cell>
          <cell r="R46">
            <v>0</v>
          </cell>
        </row>
        <row r="47">
          <cell r="A47" t="str">
            <v>P11</v>
          </cell>
          <cell r="B47" t="str">
            <v>Other revenues</v>
          </cell>
          <cell r="C47">
            <v>40319900</v>
          </cell>
          <cell r="D47" t="str">
            <v>OthRev-Misc Svc</v>
          </cell>
          <cell r="E47" t="str">
            <v>471.</v>
          </cell>
          <cell r="R47">
            <v>-165</v>
          </cell>
        </row>
        <row r="48">
          <cell r="A48" t="str">
            <v>P11 Total</v>
          </cell>
          <cell r="B48"/>
          <cell r="C48"/>
          <cell r="D48"/>
          <cell r="E48"/>
          <cell r="R48">
            <v>-2520765</v>
          </cell>
        </row>
        <row r="49">
          <cell r="A49" t="str">
            <v>P13</v>
          </cell>
          <cell r="B49" t="str">
            <v>Purchased water</v>
          </cell>
          <cell r="C49">
            <v>51010000</v>
          </cell>
          <cell r="D49" t="str">
            <v>Purchased Water</v>
          </cell>
          <cell r="E49" t="str">
            <v>610.1</v>
          </cell>
          <cell r="R49">
            <v>299237</v>
          </cell>
        </row>
        <row r="50">
          <cell r="A50"/>
          <cell r="B50"/>
          <cell r="C50">
            <v>51015000</v>
          </cell>
          <cell r="D50" t="str">
            <v>Purchased Water I/C</v>
          </cell>
          <cell r="E50" t="str">
            <v>610.1</v>
          </cell>
          <cell r="R50">
            <v>0</v>
          </cell>
        </row>
        <row r="51">
          <cell r="A51" t="str">
            <v>P13 Total</v>
          </cell>
          <cell r="B51"/>
          <cell r="C51"/>
          <cell r="D51"/>
          <cell r="E51"/>
          <cell r="R51">
            <v>299237</v>
          </cell>
        </row>
        <row r="52">
          <cell r="A52" t="str">
            <v>P14</v>
          </cell>
          <cell r="B52" t="str">
            <v>Fuel and power</v>
          </cell>
          <cell r="C52">
            <v>51510000</v>
          </cell>
          <cell r="D52" t="str">
            <v>Purchased Power</v>
          </cell>
          <cell r="E52" t="str">
            <v>615.8</v>
          </cell>
          <cell r="R52">
            <v>2141917.9799161823</v>
          </cell>
        </row>
        <row r="53">
          <cell r="A53" t="str">
            <v>P14</v>
          </cell>
          <cell r="B53" t="str">
            <v>Fuel and power</v>
          </cell>
          <cell r="C53">
            <v>51510011</v>
          </cell>
          <cell r="D53" t="str">
            <v>Purchased Power SS</v>
          </cell>
          <cell r="E53" t="str">
            <v>615.1</v>
          </cell>
          <cell r="R53">
            <v>91968</v>
          </cell>
        </row>
        <row r="54">
          <cell r="A54" t="str">
            <v>P14</v>
          </cell>
          <cell r="B54" t="str">
            <v>Fuel and power</v>
          </cell>
          <cell r="C54">
            <v>51510012</v>
          </cell>
          <cell r="D54" t="str">
            <v>Purchased Power P</v>
          </cell>
          <cell r="E54" t="str">
            <v>615.1</v>
          </cell>
          <cell r="R54">
            <v>246430</v>
          </cell>
        </row>
        <row r="55">
          <cell r="A55" t="str">
            <v>P14</v>
          </cell>
          <cell r="B55" t="str">
            <v>Fuel and power</v>
          </cell>
          <cell r="C55">
            <v>51510013</v>
          </cell>
          <cell r="D55" t="str">
            <v>Purchased Power WT</v>
          </cell>
          <cell r="E55" t="str">
            <v>615.3</v>
          </cell>
          <cell r="R55">
            <v>1641892</v>
          </cell>
        </row>
        <row r="56">
          <cell r="A56" t="str">
            <v>P14</v>
          </cell>
          <cell r="B56" t="str">
            <v>Fuel and power</v>
          </cell>
          <cell r="C56">
            <v>51510014</v>
          </cell>
          <cell r="D56" t="str">
            <v>Purchased Power TD</v>
          </cell>
          <cell r="E56" t="str">
            <v>615.5</v>
          </cell>
          <cell r="R56">
            <v>8200</v>
          </cell>
        </row>
        <row r="57">
          <cell r="A57" t="str">
            <v>P14</v>
          </cell>
          <cell r="B57" t="str">
            <v>Fuel and power</v>
          </cell>
          <cell r="C57">
            <v>51520000</v>
          </cell>
          <cell r="D57" t="str">
            <v>Fuel for Power Prod</v>
          </cell>
          <cell r="E57" t="str">
            <v>616.1</v>
          </cell>
          <cell r="R57">
            <v>6000</v>
          </cell>
        </row>
        <row r="58">
          <cell r="A58" t="str">
            <v>P14 Total</v>
          </cell>
          <cell r="B58"/>
          <cell r="C58"/>
          <cell r="D58"/>
          <cell r="E58"/>
          <cell r="R58">
            <v>4136407.9799161823</v>
          </cell>
        </row>
        <row r="59">
          <cell r="A59" t="str">
            <v>P15</v>
          </cell>
          <cell r="B59" t="str">
            <v>Chemicals</v>
          </cell>
          <cell r="C59">
            <v>51800000</v>
          </cell>
          <cell r="D59" t="str">
            <v>Chemicals</v>
          </cell>
          <cell r="E59" t="str">
            <v>618.3</v>
          </cell>
          <cell r="R59">
            <v>1902436.9872043957</v>
          </cell>
        </row>
        <row r="60">
          <cell r="A60" t="str">
            <v>P15 Total</v>
          </cell>
          <cell r="B60"/>
          <cell r="C60"/>
          <cell r="D60"/>
          <cell r="E60"/>
          <cell r="R60">
            <v>1902436.9872043957</v>
          </cell>
        </row>
        <row r="61">
          <cell r="A61" t="str">
            <v>P16</v>
          </cell>
          <cell r="B61" t="str">
            <v>Waste disposal</v>
          </cell>
          <cell r="C61">
            <v>51110000</v>
          </cell>
          <cell r="D61" t="str">
            <v>Waste Disposal</v>
          </cell>
          <cell r="E61" t="str">
            <v>675.3</v>
          </cell>
          <cell r="R61">
            <v>476720</v>
          </cell>
        </row>
        <row r="62">
          <cell r="A62" t="str">
            <v>P16</v>
          </cell>
          <cell r="B62" t="str">
            <v>Waste disposal</v>
          </cell>
          <cell r="C62">
            <v>51120000</v>
          </cell>
          <cell r="D62" t="str">
            <v>Amort Waste Disposal</v>
          </cell>
          <cell r="E62" t="str">
            <v>675.3</v>
          </cell>
          <cell r="R62">
            <v>33336</v>
          </cell>
        </row>
        <row r="63">
          <cell r="A63" t="str">
            <v>P16 Total</v>
          </cell>
          <cell r="B63"/>
          <cell r="C63"/>
          <cell r="D63"/>
          <cell r="E63"/>
          <cell r="R63">
            <v>510056</v>
          </cell>
        </row>
        <row r="64">
          <cell r="A64" t="str">
            <v>P17</v>
          </cell>
          <cell r="B64" t="str">
            <v>Salaries and wages</v>
          </cell>
          <cell r="C64">
            <v>50100000</v>
          </cell>
          <cell r="D64" t="str">
            <v>Labor Expense</v>
          </cell>
          <cell r="E64" t="str">
            <v>601.8</v>
          </cell>
          <cell r="R64">
            <v>5971937</v>
          </cell>
        </row>
        <row r="65">
          <cell r="A65" t="str">
            <v>P17</v>
          </cell>
          <cell r="B65" t="str">
            <v>Salaries and wages</v>
          </cell>
          <cell r="C65">
            <v>50100001</v>
          </cell>
          <cell r="D65" t="str">
            <v>Labor ExpenseAccrual</v>
          </cell>
          <cell r="E65" t="str">
            <v>601.8</v>
          </cell>
          <cell r="R65">
            <v>-61217</v>
          </cell>
        </row>
        <row r="66">
          <cell r="A66" t="str">
            <v>P17</v>
          </cell>
          <cell r="B66" t="str">
            <v>Salaries and wages</v>
          </cell>
          <cell r="C66">
            <v>50101210</v>
          </cell>
          <cell r="D66" t="str">
            <v>Labor Oper P PwrProd</v>
          </cell>
          <cell r="E66" t="str">
            <v>601.1</v>
          </cell>
          <cell r="R66">
            <v>0</v>
          </cell>
        </row>
        <row r="67">
          <cell r="A67" t="str">
            <v>P17</v>
          </cell>
          <cell r="B67" t="str">
            <v>Salaries and wages</v>
          </cell>
          <cell r="C67">
            <v>50101300</v>
          </cell>
          <cell r="D67" t="str">
            <v>Labor Oper WT</v>
          </cell>
          <cell r="E67" t="str">
            <v>601.3</v>
          </cell>
          <cell r="R67">
            <v>964606</v>
          </cell>
        </row>
        <row r="68">
          <cell r="A68" t="str">
            <v>P17</v>
          </cell>
          <cell r="B68" t="str">
            <v>Salaries and wages</v>
          </cell>
          <cell r="C68">
            <v>50101305</v>
          </cell>
          <cell r="D68" t="str">
            <v>Labor Oper WT SupEng</v>
          </cell>
          <cell r="E68" t="str">
            <v>601.3</v>
          </cell>
          <cell r="R68">
            <v>54871</v>
          </cell>
        </row>
        <row r="69">
          <cell r="A69" t="str">
            <v>P17</v>
          </cell>
          <cell r="B69" t="str">
            <v>Salaries and wages</v>
          </cell>
          <cell r="C69">
            <v>50101400</v>
          </cell>
          <cell r="D69" t="str">
            <v>Labor Oper TD</v>
          </cell>
          <cell r="E69" t="str">
            <v>601.5</v>
          </cell>
          <cell r="R69">
            <v>97942</v>
          </cell>
        </row>
        <row r="70">
          <cell r="A70" t="str">
            <v>P17</v>
          </cell>
          <cell r="B70" t="str">
            <v>Salaries and wages</v>
          </cell>
          <cell r="C70">
            <v>50101405</v>
          </cell>
          <cell r="D70" t="str">
            <v>Labor Oper TD SupEng</v>
          </cell>
          <cell r="E70" t="str">
            <v>601.5</v>
          </cell>
          <cell r="R70">
            <v>26402</v>
          </cell>
        </row>
        <row r="71">
          <cell r="A71" t="str">
            <v>P17</v>
          </cell>
          <cell r="B71" t="str">
            <v>Salaries and wages</v>
          </cell>
          <cell r="C71">
            <v>50101415</v>
          </cell>
          <cell r="D71" t="str">
            <v>Labor Oper TD Lines</v>
          </cell>
          <cell r="E71" t="str">
            <v>601.5</v>
          </cell>
          <cell r="R71">
            <v>34635</v>
          </cell>
        </row>
        <row r="72">
          <cell r="A72" t="str">
            <v>P17</v>
          </cell>
          <cell r="B72" t="str">
            <v>Salaries and wages</v>
          </cell>
          <cell r="C72">
            <v>50101420</v>
          </cell>
          <cell r="D72" t="str">
            <v>Labor Oper TD Meter</v>
          </cell>
          <cell r="E72" t="str">
            <v>601.5</v>
          </cell>
          <cell r="R72">
            <v>367652</v>
          </cell>
        </row>
        <row r="73">
          <cell r="A73" t="str">
            <v>P17</v>
          </cell>
          <cell r="B73" t="str">
            <v>Salaries and wages</v>
          </cell>
          <cell r="C73">
            <v>50101500</v>
          </cell>
          <cell r="D73" t="str">
            <v>Labor Oper CA</v>
          </cell>
          <cell r="E73" t="str">
            <v>601.7</v>
          </cell>
          <cell r="R73">
            <v>13171</v>
          </cell>
        </row>
        <row r="74">
          <cell r="A74" t="str">
            <v>P17</v>
          </cell>
          <cell r="B74" t="str">
            <v>Salaries and wages</v>
          </cell>
          <cell r="C74">
            <v>50101510</v>
          </cell>
          <cell r="D74" t="str">
            <v>Labor Oper CA MtrRd</v>
          </cell>
          <cell r="E74" t="str">
            <v>601.7</v>
          </cell>
          <cell r="R74">
            <v>134277</v>
          </cell>
        </row>
        <row r="75">
          <cell r="A75" t="str">
            <v>P17</v>
          </cell>
          <cell r="B75" t="str">
            <v>Salaries and wages</v>
          </cell>
          <cell r="C75">
            <v>50101515</v>
          </cell>
          <cell r="D75" t="str">
            <v>Labor Oper CA CstRec</v>
          </cell>
          <cell r="E75" t="str">
            <v>601.7</v>
          </cell>
          <cell r="R75">
            <v>0</v>
          </cell>
        </row>
        <row r="76">
          <cell r="A76" t="str">
            <v>P17</v>
          </cell>
          <cell r="B76" t="str">
            <v>Salaries and wages</v>
          </cell>
          <cell r="C76">
            <v>50101520</v>
          </cell>
          <cell r="D76" t="str">
            <v>Labor Oper CA CstSrv</v>
          </cell>
          <cell r="E76" t="str">
            <v>601.7</v>
          </cell>
          <cell r="R76">
            <v>102255</v>
          </cell>
        </row>
        <row r="77">
          <cell r="A77" t="str">
            <v>P17</v>
          </cell>
          <cell r="B77" t="str">
            <v>Salaries and wages</v>
          </cell>
          <cell r="C77">
            <v>50101600</v>
          </cell>
          <cell r="D77" t="str">
            <v>Labor Oper AG</v>
          </cell>
          <cell r="E77" t="str">
            <v>601.8</v>
          </cell>
          <cell r="R77">
            <v>362686</v>
          </cell>
        </row>
        <row r="78">
          <cell r="A78" t="str">
            <v>P17</v>
          </cell>
          <cell r="B78" t="str">
            <v>Salaries and wages</v>
          </cell>
          <cell r="C78">
            <v>50101601</v>
          </cell>
          <cell r="D78" t="str">
            <v>Labor Oper AG Dir&amp;Of</v>
          </cell>
          <cell r="E78" t="str">
            <v>603.8</v>
          </cell>
          <cell r="R78">
            <v>161</v>
          </cell>
        </row>
        <row r="79">
          <cell r="A79" t="str">
            <v>P17</v>
          </cell>
          <cell r="B79" t="str">
            <v>Salaries and wages</v>
          </cell>
          <cell r="C79">
            <v>50102300</v>
          </cell>
          <cell r="D79" t="str">
            <v>Labor Maint WT</v>
          </cell>
          <cell r="E79" t="str">
            <v>601.4</v>
          </cell>
          <cell r="R79">
            <v>96528</v>
          </cell>
        </row>
        <row r="80">
          <cell r="A80" t="str">
            <v>P17</v>
          </cell>
          <cell r="B80" t="str">
            <v>Salaries and wages</v>
          </cell>
          <cell r="C80">
            <v>50102400</v>
          </cell>
          <cell r="D80" t="str">
            <v>Labor Maint TD</v>
          </cell>
          <cell r="E80" t="str">
            <v>601.6</v>
          </cell>
          <cell r="R80">
            <v>277315</v>
          </cell>
        </row>
        <row r="81">
          <cell r="A81" t="str">
            <v>P17</v>
          </cell>
          <cell r="B81" t="str">
            <v>Salaries and wages</v>
          </cell>
          <cell r="C81">
            <v>50102410</v>
          </cell>
          <cell r="D81" t="str">
            <v>Labor Mnt TD Str&amp;Imp</v>
          </cell>
          <cell r="E81" t="str">
            <v>601.6</v>
          </cell>
          <cell r="R81">
            <v>0</v>
          </cell>
        </row>
        <row r="82">
          <cell r="A82" t="str">
            <v>P17</v>
          </cell>
          <cell r="B82" t="str">
            <v>Salaries and wages</v>
          </cell>
          <cell r="C82">
            <v>50102415</v>
          </cell>
          <cell r="D82" t="str">
            <v>Labor Mnt TD DistRes</v>
          </cell>
          <cell r="E82" t="str">
            <v>601.6</v>
          </cell>
          <cell r="R82">
            <v>0</v>
          </cell>
        </row>
        <row r="83">
          <cell r="A83" t="str">
            <v>P17</v>
          </cell>
          <cell r="B83" t="str">
            <v>Salaries and wages</v>
          </cell>
          <cell r="C83">
            <v>50102420</v>
          </cell>
          <cell r="D83" t="str">
            <v>Labor Mnt TD Mains</v>
          </cell>
          <cell r="E83" t="str">
            <v>601.6</v>
          </cell>
          <cell r="R83">
            <v>23681</v>
          </cell>
        </row>
        <row r="84">
          <cell r="A84" t="str">
            <v>P17</v>
          </cell>
          <cell r="B84" t="str">
            <v>Salaries and wages</v>
          </cell>
          <cell r="C84">
            <v>50102425</v>
          </cell>
          <cell r="D84" t="str">
            <v>Labor Mnt TD FireMn</v>
          </cell>
          <cell r="E84" t="str">
            <v>601.6</v>
          </cell>
          <cell r="R84">
            <v>0</v>
          </cell>
        </row>
        <row r="85">
          <cell r="A85" t="str">
            <v>P17</v>
          </cell>
          <cell r="B85" t="str">
            <v>Salaries and wages</v>
          </cell>
          <cell r="C85">
            <v>50102430</v>
          </cell>
          <cell r="D85" t="str">
            <v>Labor Mnt TD Service</v>
          </cell>
          <cell r="E85" t="str">
            <v>601.6</v>
          </cell>
          <cell r="R85">
            <v>59903</v>
          </cell>
        </row>
        <row r="86">
          <cell r="A86" t="str">
            <v>P17</v>
          </cell>
          <cell r="B86" t="str">
            <v>Salaries and wages</v>
          </cell>
          <cell r="C86">
            <v>50102435</v>
          </cell>
          <cell r="D86" t="str">
            <v>Labor Mnt TD Meter</v>
          </cell>
          <cell r="E86" t="str">
            <v>601.6</v>
          </cell>
          <cell r="R86">
            <v>17852</v>
          </cell>
        </row>
        <row r="87">
          <cell r="A87" t="str">
            <v>P17</v>
          </cell>
          <cell r="B87" t="str">
            <v>Salaries and wages</v>
          </cell>
          <cell r="C87">
            <v>50102440</v>
          </cell>
          <cell r="D87" t="str">
            <v>Labor Mnt TD Hydrant</v>
          </cell>
          <cell r="E87" t="str">
            <v>601.6</v>
          </cell>
          <cell r="R87">
            <v>9575</v>
          </cell>
        </row>
        <row r="88">
          <cell r="A88" t="str">
            <v>P17</v>
          </cell>
          <cell r="B88" t="str">
            <v>Salaries and wages</v>
          </cell>
          <cell r="C88">
            <v>50109900</v>
          </cell>
          <cell r="D88" t="str">
            <v>Labor Cap Credits</v>
          </cell>
          <cell r="E88" t="str">
            <v>601.8</v>
          </cell>
          <cell r="R88">
            <v>-2447639</v>
          </cell>
        </row>
        <row r="89">
          <cell r="A89" t="str">
            <v>P17</v>
          </cell>
          <cell r="B89" t="str">
            <v>Salaries and wages</v>
          </cell>
          <cell r="C89">
            <v>50110000</v>
          </cell>
          <cell r="D89" t="str">
            <v>Labor NS OT -Natural</v>
          </cell>
          <cell r="E89" t="str">
            <v>601.8</v>
          </cell>
          <cell r="R89">
            <v>639111</v>
          </cell>
        </row>
        <row r="90">
          <cell r="A90" t="str">
            <v>P17</v>
          </cell>
          <cell r="B90" t="str">
            <v>Salaries and wages</v>
          </cell>
          <cell r="C90">
            <v>50111210</v>
          </cell>
          <cell r="D90" t="str">
            <v>LaborOperNS OT P PP</v>
          </cell>
          <cell r="E90" t="str">
            <v>601.1</v>
          </cell>
          <cell r="R90">
            <v>0</v>
          </cell>
        </row>
        <row r="91">
          <cell r="A91" t="str">
            <v>P17</v>
          </cell>
          <cell r="B91" t="str">
            <v>Salaries and wages</v>
          </cell>
          <cell r="C91">
            <v>50111300</v>
          </cell>
          <cell r="D91" t="str">
            <v>LaborOper NS OT WT</v>
          </cell>
          <cell r="E91" t="str">
            <v>601.3</v>
          </cell>
          <cell r="R91">
            <v>145972</v>
          </cell>
        </row>
        <row r="92">
          <cell r="A92" t="str">
            <v>P17</v>
          </cell>
          <cell r="B92" t="str">
            <v>Salaries and wages</v>
          </cell>
          <cell r="C92">
            <v>50111400</v>
          </cell>
          <cell r="D92" t="str">
            <v>LaborOper NS OT TD</v>
          </cell>
          <cell r="E92" t="str">
            <v>601.5</v>
          </cell>
          <cell r="R92">
            <v>15804</v>
          </cell>
        </row>
        <row r="93">
          <cell r="A93" t="str">
            <v>P17</v>
          </cell>
          <cell r="B93" t="str">
            <v>Salaries and wages</v>
          </cell>
          <cell r="C93">
            <v>50111405</v>
          </cell>
          <cell r="D93" t="str">
            <v>LaborOperNS OT TD SE</v>
          </cell>
          <cell r="E93" t="str">
            <v>601.5</v>
          </cell>
          <cell r="R93">
            <v>0</v>
          </cell>
        </row>
        <row r="94">
          <cell r="A94" t="str">
            <v>P17</v>
          </cell>
          <cell r="B94" t="str">
            <v>Salaries and wages</v>
          </cell>
          <cell r="C94">
            <v>50111415</v>
          </cell>
          <cell r="D94" t="str">
            <v>LaborOperNS OT TD Ln</v>
          </cell>
          <cell r="E94" t="str">
            <v>601.5</v>
          </cell>
          <cell r="R94">
            <v>5351</v>
          </cell>
        </row>
        <row r="95">
          <cell r="A95" t="str">
            <v>P17</v>
          </cell>
          <cell r="B95" t="str">
            <v>Salaries and wages</v>
          </cell>
          <cell r="C95">
            <v>50111420</v>
          </cell>
          <cell r="D95" t="str">
            <v>LaborOperNS OT TD Mt</v>
          </cell>
          <cell r="E95" t="str">
            <v>601.5</v>
          </cell>
          <cell r="R95">
            <v>48078</v>
          </cell>
        </row>
        <row r="96">
          <cell r="A96" t="str">
            <v>P17</v>
          </cell>
          <cell r="B96" t="str">
            <v>Salaries and wages</v>
          </cell>
          <cell r="C96">
            <v>50111500</v>
          </cell>
          <cell r="D96" t="str">
            <v>LaborOper NS OT CA</v>
          </cell>
          <cell r="E96" t="str">
            <v>601.7</v>
          </cell>
          <cell r="R96">
            <v>1089</v>
          </cell>
        </row>
        <row r="97">
          <cell r="A97" t="str">
            <v>P17</v>
          </cell>
          <cell r="B97" t="str">
            <v>Salaries and wages</v>
          </cell>
          <cell r="C97">
            <v>50111510</v>
          </cell>
          <cell r="D97" t="str">
            <v>LaborOperNS OT CA MR</v>
          </cell>
          <cell r="E97" t="str">
            <v>601.7</v>
          </cell>
          <cell r="R97">
            <v>17862</v>
          </cell>
        </row>
        <row r="98">
          <cell r="A98" t="str">
            <v>P17</v>
          </cell>
          <cell r="B98" t="str">
            <v>Salaries and wages</v>
          </cell>
          <cell r="C98">
            <v>50111520</v>
          </cell>
          <cell r="D98" t="str">
            <v>LaborOperNS OT CA CS</v>
          </cell>
          <cell r="E98" t="str">
            <v>601.7</v>
          </cell>
          <cell r="R98">
            <v>6274</v>
          </cell>
        </row>
        <row r="99">
          <cell r="A99" t="str">
            <v>P17</v>
          </cell>
          <cell r="B99" t="str">
            <v>Salaries and wages</v>
          </cell>
          <cell r="C99">
            <v>50111600</v>
          </cell>
          <cell r="D99" t="str">
            <v>LaborOper NS OT AG</v>
          </cell>
          <cell r="E99" t="str">
            <v>601.8</v>
          </cell>
          <cell r="R99">
            <v>122</v>
          </cell>
        </row>
        <row r="100">
          <cell r="A100" t="str">
            <v>P17</v>
          </cell>
          <cell r="B100" t="str">
            <v>Salaries and wages</v>
          </cell>
          <cell r="C100">
            <v>50112215</v>
          </cell>
          <cell r="D100" t="str">
            <v>LaborMaintNSOT P PP</v>
          </cell>
          <cell r="E100" t="str">
            <v>601.2</v>
          </cell>
          <cell r="R100">
            <v>0</v>
          </cell>
        </row>
        <row r="101">
          <cell r="A101" t="str">
            <v>P17</v>
          </cell>
          <cell r="B101" t="str">
            <v>Salaries and wages</v>
          </cell>
          <cell r="C101">
            <v>50112300</v>
          </cell>
          <cell r="D101" t="str">
            <v>LaborMaint NS OT WT</v>
          </cell>
          <cell r="E101" t="str">
            <v>601.4</v>
          </cell>
          <cell r="R101">
            <v>24399</v>
          </cell>
        </row>
        <row r="102">
          <cell r="A102" t="str">
            <v>P17</v>
          </cell>
          <cell r="B102" t="str">
            <v>Salaries and wages</v>
          </cell>
          <cell r="C102">
            <v>50112400</v>
          </cell>
          <cell r="D102" t="str">
            <v>LaborMaint NS OT TD</v>
          </cell>
          <cell r="E102" t="str">
            <v>601.6</v>
          </cell>
          <cell r="R102">
            <v>93016</v>
          </cell>
        </row>
        <row r="103">
          <cell r="A103" t="str">
            <v>P17</v>
          </cell>
          <cell r="B103" t="str">
            <v>Salaries and wages</v>
          </cell>
          <cell r="C103">
            <v>50112415</v>
          </cell>
          <cell r="D103" t="str">
            <v>LaborMaintNSOT TD DR</v>
          </cell>
          <cell r="E103" t="str">
            <v>601.6</v>
          </cell>
          <cell r="R103">
            <v>0</v>
          </cell>
        </row>
        <row r="104">
          <cell r="A104" t="str">
            <v>P17</v>
          </cell>
          <cell r="B104" t="str">
            <v>Salaries and wages</v>
          </cell>
          <cell r="C104">
            <v>50112420</v>
          </cell>
          <cell r="D104" t="str">
            <v>LaborMaintNSOT TD Mn</v>
          </cell>
          <cell r="E104" t="str">
            <v>601.6</v>
          </cell>
          <cell r="R104">
            <v>8862</v>
          </cell>
        </row>
        <row r="105">
          <cell r="A105" t="str">
            <v>P17</v>
          </cell>
          <cell r="B105" t="str">
            <v>Salaries and wages</v>
          </cell>
          <cell r="C105">
            <v>50112425</v>
          </cell>
          <cell r="D105" t="str">
            <v>LaborMaintNSOT TD FM</v>
          </cell>
          <cell r="E105" t="str">
            <v>601.6</v>
          </cell>
          <cell r="R105">
            <v>0</v>
          </cell>
        </row>
        <row r="106">
          <cell r="A106" t="str">
            <v>P17</v>
          </cell>
          <cell r="B106" t="str">
            <v>Salaries and wages</v>
          </cell>
          <cell r="C106">
            <v>50112430</v>
          </cell>
          <cell r="D106" t="str">
            <v>LaborMaintNSOT TD Sv</v>
          </cell>
          <cell r="E106" t="str">
            <v>601.6</v>
          </cell>
          <cell r="R106">
            <v>16804</v>
          </cell>
        </row>
        <row r="107">
          <cell r="A107" t="str">
            <v>P17</v>
          </cell>
          <cell r="B107" t="str">
            <v>Salaries and wages</v>
          </cell>
          <cell r="C107">
            <v>50112435</v>
          </cell>
          <cell r="D107" t="str">
            <v>LaborMaintNSOT TD Mt</v>
          </cell>
          <cell r="E107" t="str">
            <v>601.6</v>
          </cell>
          <cell r="R107">
            <v>3539</v>
          </cell>
        </row>
        <row r="108">
          <cell r="A108" t="str">
            <v>P17</v>
          </cell>
          <cell r="B108" t="str">
            <v>Salaries and wages</v>
          </cell>
          <cell r="C108">
            <v>50112440</v>
          </cell>
          <cell r="D108" t="str">
            <v>LaborMaintNSOT TD Hy</v>
          </cell>
          <cell r="E108" t="str">
            <v>601.6</v>
          </cell>
          <cell r="R108">
            <v>1634</v>
          </cell>
        </row>
        <row r="109">
          <cell r="A109" t="str">
            <v>P17</v>
          </cell>
          <cell r="B109" t="str">
            <v>Salaries and wages</v>
          </cell>
          <cell r="C109">
            <v>50119900</v>
          </cell>
          <cell r="D109" t="str">
            <v>LaborNSOT CapCredits</v>
          </cell>
          <cell r="E109" t="str">
            <v>601.8</v>
          </cell>
          <cell r="R109">
            <v>-359649</v>
          </cell>
        </row>
        <row r="110">
          <cell r="A110" t="str">
            <v>P17</v>
          </cell>
          <cell r="B110" t="str">
            <v>Salaries and wages</v>
          </cell>
          <cell r="C110">
            <v>50120000</v>
          </cell>
          <cell r="D110" t="str">
            <v>Labor OT - Natural</v>
          </cell>
          <cell r="E110" t="str">
            <v>601.8</v>
          </cell>
          <cell r="R110">
            <v>0</v>
          </cell>
        </row>
        <row r="111">
          <cell r="A111" t="str">
            <v>P17</v>
          </cell>
          <cell r="B111" t="str">
            <v>Salaries and wages</v>
          </cell>
          <cell r="C111">
            <v>50121300</v>
          </cell>
          <cell r="D111" t="str">
            <v>LaborOper OT WT</v>
          </cell>
          <cell r="E111" t="str">
            <v>601.3</v>
          </cell>
          <cell r="R111">
            <v>0</v>
          </cell>
        </row>
        <row r="112">
          <cell r="A112" t="str">
            <v>P17</v>
          </cell>
          <cell r="B112" t="str">
            <v>Salaries and wages</v>
          </cell>
          <cell r="C112">
            <v>50122400</v>
          </cell>
          <cell r="D112" t="str">
            <v>LaborMaint OT TD</v>
          </cell>
          <cell r="E112" t="str">
            <v>601.6</v>
          </cell>
          <cell r="R112">
            <v>0</v>
          </cell>
        </row>
        <row r="113">
          <cell r="A113" t="str">
            <v>P17</v>
          </cell>
          <cell r="B113" t="str">
            <v>Salaries and wages</v>
          </cell>
          <cell r="C113">
            <v>50129900</v>
          </cell>
          <cell r="D113" t="str">
            <v>Labor OT Cap Credits</v>
          </cell>
          <cell r="E113" t="str">
            <v>601.8</v>
          </cell>
          <cell r="R113">
            <v>0</v>
          </cell>
        </row>
        <row r="114">
          <cell r="A114" t="str">
            <v>P17</v>
          </cell>
          <cell r="B114" t="str">
            <v>Salaries and wages</v>
          </cell>
          <cell r="C114">
            <v>50171000</v>
          </cell>
          <cell r="D114" t="str">
            <v>Annual Incent Plan</v>
          </cell>
          <cell r="E114" t="str">
            <v>601.8</v>
          </cell>
          <cell r="R114">
            <v>393701</v>
          </cell>
        </row>
        <row r="115">
          <cell r="A115" t="str">
            <v>P17</v>
          </cell>
          <cell r="B115" t="str">
            <v>Salaries and wages</v>
          </cell>
          <cell r="C115">
            <v>50171600</v>
          </cell>
          <cell r="D115" t="str">
            <v>Comp Exp-Options</v>
          </cell>
          <cell r="E115" t="str">
            <v>601.8</v>
          </cell>
          <cell r="R115">
            <v>453</v>
          </cell>
        </row>
        <row r="116">
          <cell r="A116" t="str">
            <v>P17</v>
          </cell>
          <cell r="B116" t="str">
            <v>Salaries and wages</v>
          </cell>
          <cell r="C116">
            <v>50171800</v>
          </cell>
          <cell r="D116" t="str">
            <v>Comp Exp-RSU's</v>
          </cell>
          <cell r="E116" t="str">
            <v>601.8</v>
          </cell>
          <cell r="R116">
            <v>15109</v>
          </cell>
        </row>
        <row r="117">
          <cell r="A117" t="str">
            <v>P17</v>
          </cell>
          <cell r="B117" t="str">
            <v>Salaries and wages</v>
          </cell>
          <cell r="C117">
            <v>50185000</v>
          </cell>
          <cell r="D117" t="str">
            <v>Severance</v>
          </cell>
          <cell r="E117" t="str">
            <v>601.8</v>
          </cell>
          <cell r="R117">
            <v>0</v>
          </cell>
        </row>
        <row r="118">
          <cell r="A118" t="str">
            <v>P17 Total</v>
          </cell>
          <cell r="B118"/>
          <cell r="C118"/>
          <cell r="D118"/>
          <cell r="E118"/>
          <cell r="R118">
            <v>7184124</v>
          </cell>
        </row>
        <row r="119">
          <cell r="A119" t="str">
            <v>P18</v>
          </cell>
          <cell r="B119" t="str">
            <v>Pension expense</v>
          </cell>
          <cell r="C119">
            <v>50610000</v>
          </cell>
          <cell r="D119" t="str">
            <v>Pension Expense</v>
          </cell>
          <cell r="E119" t="str">
            <v>604.8</v>
          </cell>
          <cell r="R119">
            <v>627714</v>
          </cell>
        </row>
        <row r="120">
          <cell r="A120" t="str">
            <v>P18</v>
          </cell>
          <cell r="B120" t="str">
            <v>Pension expense</v>
          </cell>
          <cell r="C120">
            <v>50610100</v>
          </cell>
          <cell r="D120" t="str">
            <v>Pension Cap Credits</v>
          </cell>
          <cell r="E120" t="str">
            <v>604.8</v>
          </cell>
          <cell r="R120">
            <v>-188553</v>
          </cell>
        </row>
        <row r="121">
          <cell r="A121" t="str">
            <v>P18 Total</v>
          </cell>
          <cell r="B121"/>
          <cell r="C121"/>
          <cell r="D121"/>
          <cell r="E121"/>
          <cell r="R121">
            <v>439161</v>
          </cell>
        </row>
        <row r="122">
          <cell r="A122" t="str">
            <v>P19</v>
          </cell>
          <cell r="B122" t="str">
            <v>OPEB expense</v>
          </cell>
          <cell r="C122">
            <v>50510000</v>
          </cell>
          <cell r="D122" t="str">
            <v>PBOP Expense</v>
          </cell>
          <cell r="E122" t="str">
            <v>604.8</v>
          </cell>
          <cell r="R122">
            <v>169677</v>
          </cell>
        </row>
        <row r="123">
          <cell r="A123" t="str">
            <v>P19</v>
          </cell>
          <cell r="B123" t="str">
            <v>OPEB expense</v>
          </cell>
          <cell r="C123">
            <v>50510100</v>
          </cell>
          <cell r="D123" t="str">
            <v>PBOP Cap Credits</v>
          </cell>
          <cell r="E123" t="str">
            <v>604.8</v>
          </cell>
          <cell r="R123">
            <v>-55076</v>
          </cell>
        </row>
        <row r="124">
          <cell r="A124" t="str">
            <v>P19 Total</v>
          </cell>
          <cell r="B124"/>
          <cell r="C124"/>
          <cell r="D124"/>
          <cell r="E124"/>
          <cell r="R124">
            <v>114601</v>
          </cell>
        </row>
        <row r="125">
          <cell r="A125" t="str">
            <v>P20</v>
          </cell>
          <cell r="B125" t="str">
            <v>Group insurance expense</v>
          </cell>
          <cell r="C125">
            <v>50550000</v>
          </cell>
          <cell r="D125" t="str">
            <v>Group Insur Expense</v>
          </cell>
          <cell r="E125" t="str">
            <v>604.8</v>
          </cell>
          <cell r="R125">
            <v>1978520</v>
          </cell>
        </row>
        <row r="126">
          <cell r="A126" t="str">
            <v>P20</v>
          </cell>
          <cell r="B126" t="str">
            <v>Group insurance expense</v>
          </cell>
          <cell r="C126">
            <v>50550100</v>
          </cell>
          <cell r="D126" t="str">
            <v>Group Ins Cap Credts</v>
          </cell>
          <cell r="E126" t="str">
            <v>604.8</v>
          </cell>
          <cell r="R126">
            <v>-563503</v>
          </cell>
        </row>
        <row r="127">
          <cell r="A127" t="str">
            <v>P20</v>
          </cell>
          <cell r="B127" t="str">
            <v>Group insurance expense</v>
          </cell>
          <cell r="C127">
            <v>50560000</v>
          </cell>
          <cell r="D127" t="str">
            <v>Health Save Acct Exp</v>
          </cell>
          <cell r="E127" t="str">
            <v>604.8</v>
          </cell>
          <cell r="R127">
            <v>500</v>
          </cell>
        </row>
        <row r="128">
          <cell r="A128" t="str">
            <v>P20 Total</v>
          </cell>
          <cell r="B128"/>
          <cell r="C128"/>
          <cell r="D128"/>
          <cell r="E128"/>
          <cell r="R128">
            <v>1415517</v>
          </cell>
        </row>
        <row r="129">
          <cell r="A129" t="str">
            <v>P21</v>
          </cell>
          <cell r="B129" t="str">
            <v>Other benefits</v>
          </cell>
          <cell r="C129">
            <v>50421000</v>
          </cell>
          <cell r="D129" t="str">
            <v>401k Expense</v>
          </cell>
          <cell r="E129" t="str">
            <v>604.8</v>
          </cell>
          <cell r="R129">
            <v>267244</v>
          </cell>
        </row>
        <row r="130">
          <cell r="A130" t="str">
            <v>P21</v>
          </cell>
          <cell r="B130" t="str">
            <v>Other benefits</v>
          </cell>
          <cell r="C130">
            <v>50421100</v>
          </cell>
          <cell r="D130" t="str">
            <v>401k Exp Cap Credits</v>
          </cell>
          <cell r="E130" t="str">
            <v>604.8</v>
          </cell>
          <cell r="R130">
            <v>-74367</v>
          </cell>
        </row>
        <row r="131">
          <cell r="A131" t="str">
            <v>P21</v>
          </cell>
          <cell r="B131" t="str">
            <v>Other benefits</v>
          </cell>
          <cell r="C131">
            <v>50422000</v>
          </cell>
          <cell r="D131" t="str">
            <v>DCP Expense</v>
          </cell>
          <cell r="E131" t="str">
            <v>604.8</v>
          </cell>
          <cell r="R131">
            <v>307187</v>
          </cell>
        </row>
        <row r="132">
          <cell r="A132" t="str">
            <v>P21</v>
          </cell>
          <cell r="B132" t="str">
            <v>Other benefits</v>
          </cell>
          <cell r="C132">
            <v>50422100</v>
          </cell>
          <cell r="D132" t="str">
            <v>DCP Exp Cap Credits</v>
          </cell>
          <cell r="E132" t="str">
            <v>604.8</v>
          </cell>
          <cell r="R132">
            <v>-80324</v>
          </cell>
        </row>
        <row r="133">
          <cell r="A133" t="str">
            <v>P21</v>
          </cell>
          <cell r="B133" t="str">
            <v>Other benefits</v>
          </cell>
          <cell r="C133">
            <v>50423000</v>
          </cell>
          <cell r="D133" t="str">
            <v>ESPP Expense</v>
          </cell>
          <cell r="E133" t="str">
            <v>604.8</v>
          </cell>
          <cell r="R133">
            <v>14837</v>
          </cell>
        </row>
        <row r="134">
          <cell r="A134" t="str">
            <v>P21</v>
          </cell>
          <cell r="B134" t="str">
            <v>Other benefits</v>
          </cell>
          <cell r="C134">
            <v>50426000</v>
          </cell>
          <cell r="D134" t="str">
            <v>Retiree Medical Exp</v>
          </cell>
          <cell r="E134" t="str">
            <v>604.8</v>
          </cell>
          <cell r="R134">
            <v>24707</v>
          </cell>
        </row>
        <row r="135">
          <cell r="A135" t="str">
            <v>P21</v>
          </cell>
          <cell r="B135" t="str">
            <v>Other benefits</v>
          </cell>
          <cell r="C135">
            <v>50426100</v>
          </cell>
          <cell r="D135" t="str">
            <v>Retiree Med Cap Cr</v>
          </cell>
          <cell r="E135" t="str">
            <v>604.8</v>
          </cell>
          <cell r="R135">
            <v>-4729</v>
          </cell>
        </row>
        <row r="136">
          <cell r="A136" t="str">
            <v>P21</v>
          </cell>
          <cell r="B136" t="str">
            <v>Other benefits</v>
          </cell>
          <cell r="C136">
            <v>50450000</v>
          </cell>
          <cell r="D136" t="str">
            <v>Other Welfare</v>
          </cell>
          <cell r="E136" t="str">
            <v>604.8</v>
          </cell>
          <cell r="R136">
            <v>18405</v>
          </cell>
        </row>
        <row r="137">
          <cell r="A137" t="str">
            <v>P21</v>
          </cell>
          <cell r="B137" t="str">
            <v>Other benefits</v>
          </cell>
          <cell r="C137">
            <v>50450013</v>
          </cell>
          <cell r="D137" t="str">
            <v>Other Welfare WT</v>
          </cell>
          <cell r="E137" t="str">
            <v>604.3</v>
          </cell>
          <cell r="R137">
            <v>1556</v>
          </cell>
        </row>
        <row r="138">
          <cell r="A138" t="str">
            <v>P21</v>
          </cell>
          <cell r="B138" t="str">
            <v>Other benefits</v>
          </cell>
          <cell r="C138">
            <v>50450014</v>
          </cell>
          <cell r="D138" t="str">
            <v>Other Welfare TD</v>
          </cell>
          <cell r="E138" t="str">
            <v>604.5</v>
          </cell>
          <cell r="R138">
            <v>2022</v>
          </cell>
        </row>
        <row r="139">
          <cell r="A139" t="str">
            <v>P21</v>
          </cell>
          <cell r="B139" t="str">
            <v>Other benefits</v>
          </cell>
          <cell r="C139">
            <v>50450015</v>
          </cell>
          <cell r="D139" t="str">
            <v>Other Welfare CA</v>
          </cell>
          <cell r="E139" t="str">
            <v>604.7</v>
          </cell>
          <cell r="R139">
            <v>0</v>
          </cell>
        </row>
        <row r="140">
          <cell r="A140" t="str">
            <v>P21</v>
          </cell>
          <cell r="B140" t="str">
            <v>Other benefits</v>
          </cell>
          <cell r="C140">
            <v>50450016</v>
          </cell>
          <cell r="D140" t="str">
            <v>Other Welfare AG</v>
          </cell>
          <cell r="E140" t="str">
            <v>604.8</v>
          </cell>
          <cell r="R140">
            <v>13196</v>
          </cell>
        </row>
        <row r="141">
          <cell r="A141" t="str">
            <v>P21</v>
          </cell>
          <cell r="B141" t="str">
            <v>Other benefits</v>
          </cell>
          <cell r="C141">
            <v>50451000</v>
          </cell>
          <cell r="D141" t="str">
            <v>Employee Awards</v>
          </cell>
          <cell r="E141" t="str">
            <v>604.8</v>
          </cell>
          <cell r="R141">
            <v>13063</v>
          </cell>
        </row>
        <row r="142">
          <cell r="A142" t="str">
            <v>P21</v>
          </cell>
          <cell r="B142" t="str">
            <v>Other benefits</v>
          </cell>
          <cell r="C142">
            <v>50452000</v>
          </cell>
          <cell r="D142" t="str">
            <v>Emp Physical Exams</v>
          </cell>
          <cell r="E142" t="str">
            <v>604.8</v>
          </cell>
          <cell r="R142">
            <v>8057</v>
          </cell>
        </row>
        <row r="143">
          <cell r="A143" t="str">
            <v>P21</v>
          </cell>
          <cell r="B143" t="str">
            <v>Other benefits</v>
          </cell>
          <cell r="C143">
            <v>50454000</v>
          </cell>
          <cell r="D143" t="str">
            <v>Safety Incent Awards</v>
          </cell>
          <cell r="E143" t="str">
            <v>604.8</v>
          </cell>
          <cell r="R143">
            <v>39</v>
          </cell>
        </row>
        <row r="144">
          <cell r="A144" t="str">
            <v>P21</v>
          </cell>
          <cell r="B144" t="str">
            <v>Other benefits</v>
          </cell>
          <cell r="C144">
            <v>50456000</v>
          </cell>
          <cell r="D144" t="str">
            <v>Tuition Aid</v>
          </cell>
          <cell r="E144" t="str">
            <v>604.8</v>
          </cell>
          <cell r="R144">
            <v>26053</v>
          </cell>
        </row>
        <row r="145">
          <cell r="A145" t="str">
            <v>P21</v>
          </cell>
          <cell r="B145" t="str">
            <v>Other benefits</v>
          </cell>
          <cell r="C145">
            <v>50457000</v>
          </cell>
          <cell r="D145" t="str">
            <v>Training</v>
          </cell>
          <cell r="E145" t="str">
            <v>604.8</v>
          </cell>
          <cell r="R145">
            <v>39890</v>
          </cell>
        </row>
        <row r="146">
          <cell r="A146" t="str">
            <v>P21</v>
          </cell>
          <cell r="B146" t="str">
            <v>Other benefits</v>
          </cell>
          <cell r="C146">
            <v>50458000</v>
          </cell>
          <cell r="D146" t="str">
            <v>Referral Bonus</v>
          </cell>
          <cell r="E146" t="str">
            <v>604.8</v>
          </cell>
          <cell r="R146">
            <v>1301</v>
          </cell>
        </row>
        <row r="147">
          <cell r="A147" t="str">
            <v>P21 Total</v>
          </cell>
          <cell r="B147"/>
          <cell r="C147"/>
          <cell r="D147"/>
          <cell r="E147"/>
          <cell r="R147">
            <v>578137</v>
          </cell>
        </row>
        <row r="148">
          <cell r="A148" t="str">
            <v>P22</v>
          </cell>
          <cell r="B148" t="str">
            <v>Service Company Costs</v>
          </cell>
          <cell r="C148">
            <v>53401000</v>
          </cell>
          <cell r="D148" t="str">
            <v>AWWSC Labor OPEX</v>
          </cell>
          <cell r="E148" t="str">
            <v>634.8</v>
          </cell>
          <cell r="R148">
            <v>4778427</v>
          </cell>
        </row>
        <row r="149">
          <cell r="A149" t="str">
            <v>P22</v>
          </cell>
          <cell r="B149" t="str">
            <v>Service Company Costs</v>
          </cell>
          <cell r="C149">
            <v>53401100</v>
          </cell>
          <cell r="D149" t="str">
            <v>AWWSC Pension OPEX</v>
          </cell>
          <cell r="E149" t="str">
            <v>634.8</v>
          </cell>
          <cell r="R149">
            <v>299355</v>
          </cell>
        </row>
        <row r="150">
          <cell r="A150" t="str">
            <v>P22</v>
          </cell>
          <cell r="B150" t="str">
            <v>Service Company Costs</v>
          </cell>
          <cell r="C150">
            <v>53401200</v>
          </cell>
          <cell r="D150" t="str">
            <v>AWWSC Group Ins OPEX</v>
          </cell>
          <cell r="E150" t="str">
            <v>634.8</v>
          </cell>
          <cell r="R150">
            <v>579947</v>
          </cell>
        </row>
        <row r="151">
          <cell r="A151" t="str">
            <v>P22</v>
          </cell>
          <cell r="B151" t="str">
            <v>Service Company Costs</v>
          </cell>
          <cell r="C151">
            <v>53401300</v>
          </cell>
          <cell r="D151" t="str">
            <v>AWWSC Other Ben OPEX</v>
          </cell>
          <cell r="E151" t="str">
            <v>634.8</v>
          </cell>
          <cell r="R151">
            <v>392082</v>
          </cell>
        </row>
        <row r="152">
          <cell r="A152" t="str">
            <v>P22</v>
          </cell>
          <cell r="B152" t="str">
            <v>Service Company Costs</v>
          </cell>
          <cell r="C152">
            <v>53401400</v>
          </cell>
          <cell r="D152" t="str">
            <v>AWWSC Cont Svcs OPEX</v>
          </cell>
          <cell r="E152" t="str">
            <v>634.8</v>
          </cell>
          <cell r="R152">
            <v>698172</v>
          </cell>
        </row>
        <row r="153">
          <cell r="A153" t="str">
            <v>P22</v>
          </cell>
          <cell r="B153" t="str">
            <v>Service Company Costs</v>
          </cell>
          <cell r="C153">
            <v>53401500</v>
          </cell>
          <cell r="D153" t="str">
            <v>AWWSC Off Suppl OPEX</v>
          </cell>
          <cell r="E153" t="str">
            <v>634.8</v>
          </cell>
          <cell r="R153">
            <v>431481</v>
          </cell>
        </row>
        <row r="154">
          <cell r="A154" t="str">
            <v>P22</v>
          </cell>
          <cell r="B154" t="str">
            <v>Service Company Costs</v>
          </cell>
          <cell r="C154">
            <v>53401600</v>
          </cell>
          <cell r="D154" t="str">
            <v>AWWSC Transportaion</v>
          </cell>
          <cell r="E154" t="str">
            <v>634.8</v>
          </cell>
          <cell r="R154">
            <v>65561</v>
          </cell>
        </row>
        <row r="155">
          <cell r="A155" t="str">
            <v>P22</v>
          </cell>
          <cell r="B155" t="str">
            <v>Service Company Costs</v>
          </cell>
          <cell r="C155">
            <v>53401700</v>
          </cell>
          <cell r="D155" t="str">
            <v>AWWSC Rents OPEX</v>
          </cell>
          <cell r="E155" t="str">
            <v>634.8</v>
          </cell>
          <cell r="R155">
            <v>360212</v>
          </cell>
        </row>
        <row r="156">
          <cell r="A156" t="str">
            <v>P22</v>
          </cell>
          <cell r="B156" t="str">
            <v>Service Company Costs</v>
          </cell>
          <cell r="C156">
            <v>53401800</v>
          </cell>
          <cell r="D156" t="str">
            <v>AWWSC Other operting supplies</v>
          </cell>
          <cell r="E156" t="str">
            <v>634.8</v>
          </cell>
          <cell r="R156">
            <v>102677</v>
          </cell>
        </row>
        <row r="157">
          <cell r="A157" t="str">
            <v>P22</v>
          </cell>
          <cell r="B157" t="str">
            <v>Service Company Costs</v>
          </cell>
          <cell r="C157">
            <v>53401900</v>
          </cell>
          <cell r="D157" t="str">
            <v>AWWSC Maint OPEX</v>
          </cell>
          <cell r="E157" t="str">
            <v>634.8</v>
          </cell>
          <cell r="R157">
            <v>229269</v>
          </cell>
        </row>
        <row r="158">
          <cell r="A158" t="str">
            <v>P22</v>
          </cell>
          <cell r="B158" t="str">
            <v>Service Company Costs</v>
          </cell>
          <cell r="C158">
            <v>53402100</v>
          </cell>
          <cell r="D158" t="str">
            <v>AWWSC Oth O&amp;M OPEX</v>
          </cell>
          <cell r="E158" t="str">
            <v>634.8</v>
          </cell>
          <cell r="R158">
            <v>274430</v>
          </cell>
        </row>
        <row r="159">
          <cell r="A159" t="str">
            <v>P22</v>
          </cell>
          <cell r="B159" t="str">
            <v>Service Company Costs</v>
          </cell>
          <cell r="C159">
            <v>53402200</v>
          </cell>
          <cell r="D159" t="str">
            <v>AWWSC Dpr/Amrt OPEX</v>
          </cell>
          <cell r="E159" t="str">
            <v>634.8</v>
          </cell>
          <cell r="R159">
            <v>818645</v>
          </cell>
        </row>
        <row r="160">
          <cell r="A160" t="str">
            <v>P22</v>
          </cell>
          <cell r="B160" t="str">
            <v>Service Company Costs</v>
          </cell>
          <cell r="C160">
            <v>53402300</v>
          </cell>
          <cell r="D160" t="str">
            <v>AWWSC Gen Tax OPEX</v>
          </cell>
          <cell r="E160" t="str">
            <v>634.8</v>
          </cell>
          <cell r="R160">
            <v>328764</v>
          </cell>
        </row>
        <row r="161">
          <cell r="A161" t="str">
            <v>P22</v>
          </cell>
          <cell r="B161" t="str">
            <v>Service Company Costs</v>
          </cell>
          <cell r="C161">
            <v>53402400</v>
          </cell>
          <cell r="D161" t="str">
            <v>AWWSC Interest OPEX</v>
          </cell>
          <cell r="E161" t="str">
            <v>634.8</v>
          </cell>
          <cell r="R161">
            <v>45533</v>
          </cell>
        </row>
        <row r="162">
          <cell r="A162" t="str">
            <v>P22</v>
          </cell>
          <cell r="B162" t="str">
            <v>Service Company Costs</v>
          </cell>
          <cell r="C162">
            <v>53402500</v>
          </cell>
          <cell r="D162" t="str">
            <v>AWWSC Oth Inc OPEX</v>
          </cell>
          <cell r="E162" t="str">
            <v>634.8</v>
          </cell>
          <cell r="R162">
            <v>-24705</v>
          </cell>
        </row>
        <row r="163">
          <cell r="A163" t="str">
            <v>P22</v>
          </cell>
          <cell r="B163" t="str">
            <v>Service Company Costs</v>
          </cell>
          <cell r="C163">
            <v>53402600</v>
          </cell>
          <cell r="D163" t="str">
            <v>AWWSC Inc Tax OPEX</v>
          </cell>
          <cell r="E163" t="str">
            <v>634.8</v>
          </cell>
          <cell r="R163">
            <v>5044</v>
          </cell>
        </row>
        <row r="164">
          <cell r="A164" t="str">
            <v>P22</v>
          </cell>
          <cell r="B164" t="str">
            <v>Service Company Costs</v>
          </cell>
          <cell r="C164">
            <v>53481000</v>
          </cell>
          <cell r="D164" t="str">
            <v>AWWSC Labor CAPX</v>
          </cell>
          <cell r="E164" t="str">
            <v>634.8</v>
          </cell>
          <cell r="R164">
            <v>0</v>
          </cell>
        </row>
        <row r="165">
          <cell r="A165" t="str">
            <v>P22</v>
          </cell>
          <cell r="B165" t="str">
            <v>Service Company Costs</v>
          </cell>
          <cell r="C165">
            <v>53481100</v>
          </cell>
          <cell r="D165" t="str">
            <v>AWWSC Pension CAPX</v>
          </cell>
          <cell r="E165" t="str">
            <v>634.8</v>
          </cell>
          <cell r="R165">
            <v>0</v>
          </cell>
        </row>
        <row r="166">
          <cell r="A166" t="str">
            <v>P22</v>
          </cell>
          <cell r="B166" t="str">
            <v>Service Company Costs</v>
          </cell>
          <cell r="C166">
            <v>53481200</v>
          </cell>
          <cell r="D166" t="str">
            <v>AWWSC Group Ins CAPX</v>
          </cell>
          <cell r="E166" t="str">
            <v>634.8</v>
          </cell>
          <cell r="R166">
            <v>0</v>
          </cell>
        </row>
        <row r="167">
          <cell r="A167" t="str">
            <v>P22</v>
          </cell>
          <cell r="B167" t="str">
            <v>Service Company Costs</v>
          </cell>
          <cell r="C167">
            <v>53481300</v>
          </cell>
          <cell r="D167" t="str">
            <v>AWWSC Other Ben CAPX</v>
          </cell>
          <cell r="E167" t="str">
            <v>634.8</v>
          </cell>
          <cell r="R167">
            <v>0</v>
          </cell>
        </row>
        <row r="168">
          <cell r="A168" t="str">
            <v>P22</v>
          </cell>
          <cell r="B168" t="str">
            <v>Service Company Costs</v>
          </cell>
          <cell r="C168">
            <v>53481400</v>
          </cell>
          <cell r="D168" t="str">
            <v>AWWSC Cont Svcs CAPX</v>
          </cell>
          <cell r="E168" t="str">
            <v>634.8</v>
          </cell>
          <cell r="R168">
            <v>0</v>
          </cell>
        </row>
        <row r="169">
          <cell r="A169" t="str">
            <v>P22</v>
          </cell>
          <cell r="B169" t="str">
            <v>Service Company Costs</v>
          </cell>
          <cell r="C169">
            <v>53481500</v>
          </cell>
          <cell r="D169" t="str">
            <v>AWWSC Off Suppl CAPX</v>
          </cell>
          <cell r="E169" t="str">
            <v>634.8</v>
          </cell>
          <cell r="R169">
            <v>0</v>
          </cell>
        </row>
        <row r="170">
          <cell r="A170" t="str">
            <v>P22</v>
          </cell>
          <cell r="B170" t="str">
            <v>Service Company Costs</v>
          </cell>
          <cell r="C170">
            <v>53481700</v>
          </cell>
          <cell r="D170" t="str">
            <v>AWWSC Rents CAPX</v>
          </cell>
          <cell r="E170" t="str">
            <v>634.8</v>
          </cell>
          <cell r="R170">
            <v>0</v>
          </cell>
        </row>
        <row r="171">
          <cell r="A171" t="str">
            <v>P22</v>
          </cell>
          <cell r="B171" t="str">
            <v>Service Company Costs</v>
          </cell>
          <cell r="C171">
            <v>53481900</v>
          </cell>
          <cell r="D171" t="str">
            <v>AWWSC Maint CAPX</v>
          </cell>
          <cell r="E171" t="str">
            <v>634.8</v>
          </cell>
          <cell r="R171">
            <v>0</v>
          </cell>
        </row>
        <row r="172">
          <cell r="A172" t="str">
            <v>P22</v>
          </cell>
          <cell r="B172" t="str">
            <v>Service Company Costs</v>
          </cell>
          <cell r="C172">
            <v>53482100</v>
          </cell>
          <cell r="D172" t="str">
            <v>AWWSC Oth O&amp;M CAPX</v>
          </cell>
          <cell r="E172" t="str">
            <v>634.8</v>
          </cell>
          <cell r="R172">
            <v>0</v>
          </cell>
        </row>
        <row r="173">
          <cell r="A173" t="str">
            <v>P22</v>
          </cell>
          <cell r="B173" t="str">
            <v>Service Company Costs</v>
          </cell>
          <cell r="C173">
            <v>53482200</v>
          </cell>
          <cell r="D173" t="str">
            <v>AWWSC Dpr/Amrt CAPX</v>
          </cell>
          <cell r="E173" t="str">
            <v>634.8</v>
          </cell>
          <cell r="R173">
            <v>0</v>
          </cell>
        </row>
        <row r="174">
          <cell r="A174" t="str">
            <v>P22</v>
          </cell>
          <cell r="B174" t="str">
            <v>Service Company Costs</v>
          </cell>
          <cell r="C174">
            <v>53482300</v>
          </cell>
          <cell r="D174" t="str">
            <v>AWWSC Gen Tax CAPX</v>
          </cell>
          <cell r="E174" t="str">
            <v>634.8</v>
          </cell>
          <cell r="R174">
            <v>0</v>
          </cell>
        </row>
        <row r="175">
          <cell r="A175" t="str">
            <v>P22</v>
          </cell>
          <cell r="B175" t="str">
            <v>Service Company Costs</v>
          </cell>
          <cell r="C175">
            <v>53482400</v>
          </cell>
          <cell r="D175" t="str">
            <v>AWWSC Interest CAPX</v>
          </cell>
          <cell r="E175" t="str">
            <v>634.8</v>
          </cell>
          <cell r="R175">
            <v>0</v>
          </cell>
        </row>
        <row r="176">
          <cell r="A176" t="str">
            <v>P22</v>
          </cell>
          <cell r="B176" t="str">
            <v>Service Company Costs</v>
          </cell>
          <cell r="C176">
            <v>53482500</v>
          </cell>
          <cell r="D176" t="str">
            <v>AWWSC Oth Inc CAPX</v>
          </cell>
          <cell r="E176" t="str">
            <v>634.8</v>
          </cell>
          <cell r="R176">
            <v>0</v>
          </cell>
        </row>
        <row r="177">
          <cell r="A177" t="str">
            <v>P22</v>
          </cell>
          <cell r="B177" t="str">
            <v>Service Company Costs</v>
          </cell>
          <cell r="C177">
            <v>53482600</v>
          </cell>
          <cell r="D177" t="str">
            <v>AWWSC Inc Tax CAPX</v>
          </cell>
          <cell r="E177" t="str">
            <v>634.8</v>
          </cell>
          <cell r="R177">
            <v>0</v>
          </cell>
        </row>
        <row r="178">
          <cell r="A178" t="str">
            <v>P22 Total</v>
          </cell>
          <cell r="B178"/>
          <cell r="C178"/>
          <cell r="D178"/>
          <cell r="E178"/>
          <cell r="R178">
            <v>9384894</v>
          </cell>
        </row>
        <row r="179">
          <cell r="A179" t="str">
            <v>P23</v>
          </cell>
          <cell r="B179" t="str">
            <v>Contracted services</v>
          </cell>
          <cell r="C179">
            <v>53110000</v>
          </cell>
          <cell r="D179" t="str">
            <v>Contr Svc-Eng</v>
          </cell>
          <cell r="E179" t="str">
            <v>631.8</v>
          </cell>
          <cell r="R179">
            <v>0</v>
          </cell>
        </row>
        <row r="180">
          <cell r="A180" t="str">
            <v>P23</v>
          </cell>
          <cell r="B180" t="str">
            <v>Contracted services</v>
          </cell>
          <cell r="C180">
            <v>53110011</v>
          </cell>
          <cell r="D180" t="str">
            <v>Contr Svc-Eng SS</v>
          </cell>
          <cell r="E180" t="str">
            <v>631.1</v>
          </cell>
          <cell r="R180">
            <v>0</v>
          </cell>
        </row>
        <row r="181">
          <cell r="A181" t="str">
            <v>P23</v>
          </cell>
          <cell r="B181" t="str">
            <v>Contracted services</v>
          </cell>
          <cell r="C181">
            <v>53110013</v>
          </cell>
          <cell r="D181" t="str">
            <v>Contr Svc-Eng WT</v>
          </cell>
          <cell r="E181" t="str">
            <v>631.3</v>
          </cell>
          <cell r="R181">
            <v>11564</v>
          </cell>
        </row>
        <row r="182">
          <cell r="A182" t="str">
            <v>P23</v>
          </cell>
          <cell r="B182" t="str">
            <v>Contracted services</v>
          </cell>
          <cell r="C182">
            <v>53110016</v>
          </cell>
          <cell r="D182" t="str">
            <v>Contr Svc-Eng AG</v>
          </cell>
          <cell r="E182" t="str">
            <v>631.8</v>
          </cell>
          <cell r="R182">
            <v>3304</v>
          </cell>
        </row>
        <row r="183">
          <cell r="A183" t="str">
            <v>P23</v>
          </cell>
          <cell r="B183" t="str">
            <v>Contracted services</v>
          </cell>
          <cell r="C183">
            <v>53150000</v>
          </cell>
          <cell r="D183" t="str">
            <v>Contr Svc-Other</v>
          </cell>
          <cell r="E183" t="str">
            <v>636.8</v>
          </cell>
          <cell r="R183">
            <v>175587</v>
          </cell>
        </row>
        <row r="184">
          <cell r="A184" t="str">
            <v>P23</v>
          </cell>
          <cell r="B184" t="str">
            <v>Contracted services</v>
          </cell>
          <cell r="C184">
            <v>53150011</v>
          </cell>
          <cell r="D184" t="str">
            <v>Contr Svc-Other SS</v>
          </cell>
          <cell r="E184" t="str">
            <v>636.1</v>
          </cell>
          <cell r="R184">
            <v>10163</v>
          </cell>
        </row>
        <row r="185">
          <cell r="A185" t="str">
            <v>P23</v>
          </cell>
          <cell r="B185" t="str">
            <v>Contracted services</v>
          </cell>
          <cell r="C185">
            <v>53150013</v>
          </cell>
          <cell r="D185" t="str">
            <v>Contr Svc-Other WT</v>
          </cell>
          <cell r="E185" t="str">
            <v>636.3</v>
          </cell>
          <cell r="R185">
            <v>35239</v>
          </cell>
        </row>
        <row r="186">
          <cell r="A186" t="str">
            <v>P23</v>
          </cell>
          <cell r="B186" t="str">
            <v>Contracted services</v>
          </cell>
          <cell r="C186">
            <v>53150014</v>
          </cell>
          <cell r="D186" t="str">
            <v>Contr Svc-Other TD</v>
          </cell>
          <cell r="E186" t="str">
            <v>636.5</v>
          </cell>
          <cell r="R186">
            <v>79016</v>
          </cell>
        </row>
        <row r="187">
          <cell r="A187" t="str">
            <v>P23</v>
          </cell>
          <cell r="B187" t="str">
            <v>Contracted services</v>
          </cell>
          <cell r="C187">
            <v>53150015</v>
          </cell>
          <cell r="D187" t="str">
            <v>Contr Svc-Other CA</v>
          </cell>
          <cell r="E187" t="str">
            <v>636.7</v>
          </cell>
          <cell r="R187">
            <v>-913</v>
          </cell>
        </row>
        <row r="188">
          <cell r="A188" t="str">
            <v>P23</v>
          </cell>
          <cell r="B188" t="str">
            <v>Contracted services</v>
          </cell>
          <cell r="C188">
            <v>53150016</v>
          </cell>
          <cell r="D188" t="str">
            <v>Contr Svc-Other AG</v>
          </cell>
          <cell r="E188" t="str">
            <v>636.8</v>
          </cell>
          <cell r="R188">
            <v>72219</v>
          </cell>
        </row>
        <row r="189">
          <cell r="A189" t="str">
            <v>P23</v>
          </cell>
          <cell r="B189" t="str">
            <v>Contracted services</v>
          </cell>
          <cell r="C189">
            <v>53151000</v>
          </cell>
          <cell r="D189" t="str">
            <v>Contr Svc-Temp EE</v>
          </cell>
          <cell r="E189" t="str">
            <v>636.8</v>
          </cell>
          <cell r="R189">
            <v>1668</v>
          </cell>
        </row>
        <row r="190">
          <cell r="A190" t="str">
            <v>P23</v>
          </cell>
          <cell r="B190" t="str">
            <v>Contracted services</v>
          </cell>
          <cell r="C190">
            <v>53151013</v>
          </cell>
          <cell r="D190" t="str">
            <v>Contr Svc-Temp EE WT</v>
          </cell>
          <cell r="E190" t="str">
            <v>636.3</v>
          </cell>
          <cell r="R190">
            <v>7139</v>
          </cell>
        </row>
        <row r="191">
          <cell r="A191" t="str">
            <v>P23</v>
          </cell>
          <cell r="B191" t="str">
            <v>Contracted services</v>
          </cell>
          <cell r="C191">
            <v>53151016</v>
          </cell>
          <cell r="D191" t="str">
            <v>Contr Svc-Temp EE AG</v>
          </cell>
          <cell r="E191" t="str">
            <v>636.8</v>
          </cell>
          <cell r="R191">
            <v>0</v>
          </cell>
        </row>
        <row r="192">
          <cell r="A192" t="str">
            <v>P23</v>
          </cell>
          <cell r="B192" t="str">
            <v>Contracted services</v>
          </cell>
          <cell r="C192">
            <v>53152000</v>
          </cell>
          <cell r="D192" t="str">
            <v>Contr Svc-Lab Testng</v>
          </cell>
          <cell r="E192" t="str">
            <v>635.3</v>
          </cell>
          <cell r="R192">
            <v>20972</v>
          </cell>
        </row>
        <row r="193">
          <cell r="A193" t="str">
            <v>P23</v>
          </cell>
          <cell r="B193" t="str">
            <v>Contracted services</v>
          </cell>
          <cell r="C193">
            <v>53153000</v>
          </cell>
          <cell r="D193" t="str">
            <v>Contr Svc-Accounting</v>
          </cell>
          <cell r="E193" t="str">
            <v>632.8</v>
          </cell>
          <cell r="R193">
            <v>0</v>
          </cell>
        </row>
        <row r="194">
          <cell r="A194" t="str">
            <v>P23</v>
          </cell>
          <cell r="B194" t="str">
            <v>Contracted services</v>
          </cell>
          <cell r="C194">
            <v>53154000</v>
          </cell>
          <cell r="D194" t="str">
            <v>Contr Svc-Audit Fees</v>
          </cell>
          <cell r="E194" t="str">
            <v>632.8</v>
          </cell>
          <cell r="R194">
            <v>149874</v>
          </cell>
        </row>
        <row r="195">
          <cell r="A195" t="str">
            <v>P23</v>
          </cell>
          <cell r="B195" t="str">
            <v>Contracted services</v>
          </cell>
          <cell r="C195">
            <v>53155000</v>
          </cell>
          <cell r="D195" t="str">
            <v>Contr Svc-Legal</v>
          </cell>
          <cell r="E195" t="str">
            <v>633.8</v>
          </cell>
          <cell r="R195">
            <v>348693</v>
          </cell>
        </row>
        <row r="196">
          <cell r="A196" t="str">
            <v>P23</v>
          </cell>
          <cell r="B196" t="str">
            <v>Contracted services</v>
          </cell>
          <cell r="C196">
            <v>53157000</v>
          </cell>
          <cell r="D196" t="str">
            <v>Contr Svc-Outplacemt</v>
          </cell>
          <cell r="E196" t="str">
            <v>675.8</v>
          </cell>
          <cell r="R196">
            <v>0</v>
          </cell>
        </row>
        <row r="197">
          <cell r="A197" t="str">
            <v>P23 Total</v>
          </cell>
          <cell r="B197"/>
          <cell r="C197"/>
          <cell r="D197"/>
          <cell r="E197"/>
          <cell r="R197">
            <v>914525</v>
          </cell>
        </row>
        <row r="198">
          <cell r="A198" t="str">
            <v>P24</v>
          </cell>
          <cell r="B198" t="str">
            <v>Building Maintenance and Services</v>
          </cell>
          <cell r="C198">
            <v>52532000</v>
          </cell>
          <cell r="D198" t="str">
            <v>Electricity</v>
          </cell>
          <cell r="E198" t="str">
            <v>675.8</v>
          </cell>
          <cell r="R198">
            <v>73193</v>
          </cell>
        </row>
        <row r="199">
          <cell r="A199" t="str">
            <v>P24</v>
          </cell>
          <cell r="B199" t="str">
            <v>Building Maintenance and Services</v>
          </cell>
          <cell r="C199">
            <v>52532011</v>
          </cell>
          <cell r="D199" t="str">
            <v>Electricity SS</v>
          </cell>
          <cell r="E199" t="str">
            <v>675.1</v>
          </cell>
          <cell r="R199">
            <v>0</v>
          </cell>
        </row>
        <row r="200">
          <cell r="A200" t="str">
            <v>P24</v>
          </cell>
          <cell r="B200" t="str">
            <v>Building Maintenance and Services</v>
          </cell>
          <cell r="C200">
            <v>52532013</v>
          </cell>
          <cell r="D200" t="str">
            <v>Electricity WT</v>
          </cell>
          <cell r="E200" t="str">
            <v>675.3</v>
          </cell>
          <cell r="R200">
            <v>3707</v>
          </cell>
        </row>
        <row r="201">
          <cell r="A201" t="str">
            <v>P24</v>
          </cell>
          <cell r="B201" t="str">
            <v>Building Maintenance and Services</v>
          </cell>
          <cell r="C201">
            <v>52532014</v>
          </cell>
          <cell r="D201" t="str">
            <v>Electricity TD</v>
          </cell>
          <cell r="E201" t="str">
            <v>675.5</v>
          </cell>
          <cell r="R201">
            <v>40646</v>
          </cell>
        </row>
        <row r="202">
          <cell r="A202" t="str">
            <v>P24</v>
          </cell>
          <cell r="B202" t="str">
            <v>Building Maintenance and Services</v>
          </cell>
          <cell r="C202">
            <v>52532016</v>
          </cell>
          <cell r="D202" t="str">
            <v>Electricity AG</v>
          </cell>
          <cell r="E202" t="str">
            <v>675.8</v>
          </cell>
          <cell r="R202">
            <v>36966</v>
          </cell>
        </row>
        <row r="203">
          <cell r="A203" t="str">
            <v>P24</v>
          </cell>
          <cell r="B203" t="str">
            <v>Building Maintenance and Services</v>
          </cell>
          <cell r="C203">
            <v>52546000</v>
          </cell>
          <cell r="D203" t="str">
            <v>Grounds Keeping</v>
          </cell>
          <cell r="E203" t="str">
            <v>675.8</v>
          </cell>
          <cell r="R203">
            <v>86401</v>
          </cell>
        </row>
        <row r="204">
          <cell r="A204" t="str">
            <v>P24</v>
          </cell>
          <cell r="B204" t="str">
            <v>Building Maintenance and Services</v>
          </cell>
          <cell r="C204">
            <v>52546011</v>
          </cell>
          <cell r="D204" t="str">
            <v>Grounds Keeping SS</v>
          </cell>
          <cell r="E204" t="str">
            <v>675.1</v>
          </cell>
          <cell r="R204">
            <v>4926</v>
          </cell>
        </row>
        <row r="205">
          <cell r="A205" t="str">
            <v>P24</v>
          </cell>
          <cell r="B205" t="str">
            <v>Building Maintenance and Services</v>
          </cell>
          <cell r="C205">
            <v>52546013</v>
          </cell>
          <cell r="D205" t="str">
            <v>Grounds Keeping WT</v>
          </cell>
          <cell r="E205" t="str">
            <v>675.3</v>
          </cell>
          <cell r="R205">
            <v>21727</v>
          </cell>
        </row>
        <row r="206">
          <cell r="A206" t="str">
            <v>P24</v>
          </cell>
          <cell r="B206" t="str">
            <v>Building Maintenance and Services</v>
          </cell>
          <cell r="C206">
            <v>52546014</v>
          </cell>
          <cell r="D206" t="str">
            <v>Grounds Keeping TD</v>
          </cell>
          <cell r="E206" t="str">
            <v>675.5</v>
          </cell>
          <cell r="R206">
            <v>21867</v>
          </cell>
        </row>
        <row r="207">
          <cell r="A207" t="str">
            <v>P24</v>
          </cell>
          <cell r="B207" t="str">
            <v>Building Maintenance and Services</v>
          </cell>
          <cell r="C207">
            <v>52546016</v>
          </cell>
          <cell r="D207" t="str">
            <v>Grounds Keeping AG</v>
          </cell>
          <cell r="E207" t="str">
            <v>675.8</v>
          </cell>
          <cell r="R207">
            <v>92413</v>
          </cell>
        </row>
        <row r="208">
          <cell r="A208" t="str">
            <v>P24</v>
          </cell>
          <cell r="B208" t="str">
            <v>Building Maintenance and Services</v>
          </cell>
          <cell r="C208">
            <v>52548000</v>
          </cell>
          <cell r="D208" t="str">
            <v>Heating Oil/Gas</v>
          </cell>
          <cell r="E208" t="str">
            <v>675.8</v>
          </cell>
          <cell r="R208">
            <v>13095</v>
          </cell>
        </row>
        <row r="209">
          <cell r="A209" t="str">
            <v>P24</v>
          </cell>
          <cell r="B209" t="str">
            <v>Building Maintenance and Services</v>
          </cell>
          <cell r="C209">
            <v>52548013</v>
          </cell>
          <cell r="D209" t="str">
            <v>Heating Oil/Gas WT</v>
          </cell>
          <cell r="E209" t="str">
            <v>675.3</v>
          </cell>
          <cell r="R209">
            <v>6898</v>
          </cell>
        </row>
        <row r="210">
          <cell r="A210" t="str">
            <v>P24</v>
          </cell>
          <cell r="B210" t="str">
            <v>Building Maintenance and Services</v>
          </cell>
          <cell r="C210">
            <v>52548014</v>
          </cell>
          <cell r="D210" t="str">
            <v>Heating Oil/Gas TD</v>
          </cell>
          <cell r="E210" t="str">
            <v>675.5</v>
          </cell>
          <cell r="R210">
            <v>0</v>
          </cell>
        </row>
        <row r="211">
          <cell r="A211" t="str">
            <v>P24</v>
          </cell>
          <cell r="B211" t="str">
            <v>Building Maintenance and Services</v>
          </cell>
          <cell r="C211">
            <v>52548016</v>
          </cell>
          <cell r="D211" t="str">
            <v>Heating Oil/Gas AG</v>
          </cell>
          <cell r="E211" t="str">
            <v>675.8</v>
          </cell>
          <cell r="R211">
            <v>2371</v>
          </cell>
        </row>
        <row r="212">
          <cell r="A212" t="str">
            <v>P24</v>
          </cell>
          <cell r="B212" t="str">
            <v>Building Maintenance and Services</v>
          </cell>
          <cell r="C212">
            <v>52550000</v>
          </cell>
          <cell r="D212" t="str">
            <v>Janitorial</v>
          </cell>
          <cell r="E212" t="str">
            <v>675.8</v>
          </cell>
          <cell r="R212">
            <v>45117</v>
          </cell>
        </row>
        <row r="213">
          <cell r="A213" t="str">
            <v>P24</v>
          </cell>
          <cell r="B213" t="str">
            <v>Building Maintenance and Services</v>
          </cell>
          <cell r="C213">
            <v>52550013</v>
          </cell>
          <cell r="D213" t="str">
            <v>Janitorial WT</v>
          </cell>
          <cell r="E213" t="str">
            <v>675.3</v>
          </cell>
          <cell r="R213">
            <v>1551</v>
          </cell>
        </row>
        <row r="214">
          <cell r="A214" t="str">
            <v>P24</v>
          </cell>
          <cell r="B214" t="str">
            <v>Building Maintenance and Services</v>
          </cell>
          <cell r="C214">
            <v>52550014</v>
          </cell>
          <cell r="D214" t="str">
            <v>Janitorial TD</v>
          </cell>
          <cell r="E214" t="str">
            <v>675.5</v>
          </cell>
          <cell r="R214">
            <v>7637</v>
          </cell>
        </row>
        <row r="215">
          <cell r="A215" t="str">
            <v>P24</v>
          </cell>
          <cell r="B215" t="str">
            <v>Building Maintenance and Services</v>
          </cell>
          <cell r="C215">
            <v>52550016</v>
          </cell>
          <cell r="D215" t="str">
            <v>Janitorial AG</v>
          </cell>
          <cell r="E215" t="str">
            <v>675.8</v>
          </cell>
          <cell r="R215">
            <v>32844</v>
          </cell>
        </row>
        <row r="216">
          <cell r="A216" t="str">
            <v>P24</v>
          </cell>
          <cell r="B216" t="str">
            <v>Building Maintenance and Services</v>
          </cell>
          <cell r="C216">
            <v>52571000</v>
          </cell>
          <cell r="D216" t="str">
            <v>Security Svc</v>
          </cell>
          <cell r="E216" t="str">
            <v>675.8</v>
          </cell>
          <cell r="R216">
            <v>14487</v>
          </cell>
        </row>
        <row r="217">
          <cell r="A217" t="str">
            <v>P24</v>
          </cell>
          <cell r="B217" t="str">
            <v>Building Maintenance and Services</v>
          </cell>
          <cell r="C217">
            <v>52571011</v>
          </cell>
          <cell r="D217" t="str">
            <v>Security Svc SS</v>
          </cell>
          <cell r="E217" t="str">
            <v>675.1</v>
          </cell>
          <cell r="R217">
            <v>14490</v>
          </cell>
        </row>
        <row r="218">
          <cell r="A218" t="str">
            <v>P24</v>
          </cell>
          <cell r="B218" t="str">
            <v>Building Maintenance and Services</v>
          </cell>
          <cell r="C218">
            <v>52571014</v>
          </cell>
          <cell r="D218" t="str">
            <v>Security Svc TD</v>
          </cell>
          <cell r="E218" t="str">
            <v>675.5</v>
          </cell>
          <cell r="R218">
            <v>305</v>
          </cell>
        </row>
        <row r="219">
          <cell r="A219" t="str">
            <v>P24</v>
          </cell>
          <cell r="B219" t="str">
            <v>Building Maintenance and Services</v>
          </cell>
          <cell r="C219">
            <v>52571016</v>
          </cell>
          <cell r="D219" t="str">
            <v>Security Svc AG</v>
          </cell>
          <cell r="E219" t="str">
            <v>675.8</v>
          </cell>
          <cell r="R219">
            <v>0</v>
          </cell>
        </row>
        <row r="220">
          <cell r="A220" t="str">
            <v>P24</v>
          </cell>
          <cell r="B220" t="str">
            <v>Building Maintenance and Services</v>
          </cell>
          <cell r="C220">
            <v>52571100</v>
          </cell>
          <cell r="D220" t="str">
            <v>Add'l Security Costs</v>
          </cell>
          <cell r="E220" t="str">
            <v>675.8</v>
          </cell>
          <cell r="R220">
            <v>60566</v>
          </cell>
        </row>
        <row r="221">
          <cell r="A221" t="str">
            <v>P24</v>
          </cell>
          <cell r="B221" t="str">
            <v>Building Maintenance and Services</v>
          </cell>
          <cell r="C221">
            <v>52578000</v>
          </cell>
          <cell r="D221" t="str">
            <v>Trash Removal</v>
          </cell>
          <cell r="E221" t="str">
            <v>675.8</v>
          </cell>
          <cell r="R221">
            <v>12192</v>
          </cell>
        </row>
        <row r="222">
          <cell r="A222" t="str">
            <v>P24</v>
          </cell>
          <cell r="B222" t="str">
            <v>Building Maintenance and Services</v>
          </cell>
          <cell r="C222">
            <v>52578013</v>
          </cell>
          <cell r="D222" t="str">
            <v>Trash Removal WT</v>
          </cell>
          <cell r="E222" t="str">
            <v>675.3</v>
          </cell>
          <cell r="R222">
            <v>4184</v>
          </cell>
        </row>
        <row r="223">
          <cell r="A223" t="str">
            <v>P24</v>
          </cell>
          <cell r="B223" t="str">
            <v>Building Maintenance and Services</v>
          </cell>
          <cell r="C223">
            <v>52578014</v>
          </cell>
          <cell r="D223" t="str">
            <v>Trash Removal TD</v>
          </cell>
          <cell r="E223" t="str">
            <v>675.5</v>
          </cell>
          <cell r="R223">
            <v>3378</v>
          </cell>
        </row>
        <row r="224">
          <cell r="A224" t="str">
            <v>P24</v>
          </cell>
          <cell r="B224" t="str">
            <v>Building Maintenance and Services</v>
          </cell>
          <cell r="C224">
            <v>52578016</v>
          </cell>
          <cell r="D224" t="str">
            <v>Trash Removal AG</v>
          </cell>
          <cell r="E224" t="str">
            <v>675.8</v>
          </cell>
          <cell r="R224">
            <v>6345</v>
          </cell>
        </row>
        <row r="225">
          <cell r="A225" t="str">
            <v>P24</v>
          </cell>
          <cell r="B225" t="str">
            <v>Building Maintenance and Services</v>
          </cell>
          <cell r="C225">
            <v>52583000</v>
          </cell>
          <cell r="D225" t="str">
            <v>Water &amp; WW</v>
          </cell>
          <cell r="E225" t="str">
            <v>675.8</v>
          </cell>
          <cell r="R225">
            <v>43507</v>
          </cell>
        </row>
        <row r="226">
          <cell r="A226" t="str">
            <v>P24</v>
          </cell>
          <cell r="B226" t="str">
            <v>Building Maintenance and Services</v>
          </cell>
          <cell r="C226">
            <v>52583011</v>
          </cell>
          <cell r="D226" t="str">
            <v>Water &amp; WW SS</v>
          </cell>
          <cell r="E226" t="str">
            <v>675.1</v>
          </cell>
          <cell r="R226">
            <v>27668</v>
          </cell>
        </row>
        <row r="227">
          <cell r="A227" t="str">
            <v>P24</v>
          </cell>
          <cell r="B227" t="str">
            <v>Building Maintenance and Services</v>
          </cell>
          <cell r="C227">
            <v>52583013</v>
          </cell>
          <cell r="D227" t="str">
            <v>Water &amp; WW WT</v>
          </cell>
          <cell r="E227" t="str">
            <v>675.3</v>
          </cell>
          <cell r="R227">
            <v>5785</v>
          </cell>
        </row>
        <row r="228">
          <cell r="A228" t="str">
            <v>P24</v>
          </cell>
          <cell r="B228" t="str">
            <v>Building Maintenance and Services</v>
          </cell>
          <cell r="C228">
            <v>52583014</v>
          </cell>
          <cell r="D228" t="str">
            <v>Water &amp; WW TD</v>
          </cell>
          <cell r="E228" t="str">
            <v>675.5</v>
          </cell>
          <cell r="R228">
            <v>0</v>
          </cell>
        </row>
        <row r="229">
          <cell r="A229" t="str">
            <v>P24</v>
          </cell>
          <cell r="B229" t="str">
            <v>Building Maintenance and Services</v>
          </cell>
          <cell r="C229">
            <v>52583016</v>
          </cell>
          <cell r="D229" t="str">
            <v>Water &amp; WW AG</v>
          </cell>
          <cell r="E229" t="str">
            <v>675.8</v>
          </cell>
          <cell r="R229">
            <v>8903</v>
          </cell>
        </row>
        <row r="230">
          <cell r="A230" t="str">
            <v>P24 Total</v>
          </cell>
          <cell r="B230"/>
          <cell r="C230"/>
          <cell r="D230"/>
          <cell r="E230"/>
          <cell r="R230">
            <v>693169</v>
          </cell>
        </row>
        <row r="231">
          <cell r="A231" t="str">
            <v>P25</v>
          </cell>
          <cell r="B231" t="str">
            <v>Telecommunication expenses</v>
          </cell>
          <cell r="C231">
            <v>52574000</v>
          </cell>
          <cell r="D231" t="str">
            <v>Telephone</v>
          </cell>
          <cell r="E231" t="str">
            <v>675.8</v>
          </cell>
          <cell r="R231">
            <v>60307</v>
          </cell>
        </row>
        <row r="232">
          <cell r="A232" t="str">
            <v>P25</v>
          </cell>
          <cell r="B232" t="str">
            <v>Telecommunication expenses</v>
          </cell>
          <cell r="C232">
            <v>52574013</v>
          </cell>
          <cell r="D232" t="str">
            <v>Telephone WT</v>
          </cell>
          <cell r="E232" t="str">
            <v>675.3</v>
          </cell>
          <cell r="R232">
            <v>13754</v>
          </cell>
        </row>
        <row r="233">
          <cell r="A233" t="str">
            <v>P25</v>
          </cell>
          <cell r="B233" t="str">
            <v>Telecommunication expenses</v>
          </cell>
          <cell r="C233">
            <v>52574014</v>
          </cell>
          <cell r="D233" t="str">
            <v>Telephone TD</v>
          </cell>
          <cell r="E233" t="str">
            <v>675.5</v>
          </cell>
          <cell r="R233">
            <v>0</v>
          </cell>
        </row>
        <row r="234">
          <cell r="A234" t="str">
            <v>P25</v>
          </cell>
          <cell r="B234" t="str">
            <v>Telecommunication expenses</v>
          </cell>
          <cell r="C234">
            <v>52574015</v>
          </cell>
          <cell r="D234" t="str">
            <v>Telephone CA</v>
          </cell>
          <cell r="E234" t="str">
            <v>675.7</v>
          </cell>
          <cell r="R234">
            <v>31001</v>
          </cell>
        </row>
        <row r="235">
          <cell r="A235" t="str">
            <v>P25</v>
          </cell>
          <cell r="B235" t="str">
            <v>Telecommunication expenses</v>
          </cell>
          <cell r="C235">
            <v>52574016</v>
          </cell>
          <cell r="D235" t="str">
            <v>Telephone AG</v>
          </cell>
          <cell r="E235" t="str">
            <v>675.8</v>
          </cell>
          <cell r="R235">
            <v>7542</v>
          </cell>
        </row>
        <row r="236">
          <cell r="A236" t="str">
            <v>P25</v>
          </cell>
          <cell r="B236" t="str">
            <v>Telecommunication expenses</v>
          </cell>
          <cell r="C236">
            <v>52574100</v>
          </cell>
          <cell r="D236" t="str">
            <v>Cell Phone</v>
          </cell>
          <cell r="E236" t="str">
            <v>675.8</v>
          </cell>
          <cell r="R236">
            <v>62084</v>
          </cell>
        </row>
        <row r="237">
          <cell r="A237" t="str">
            <v>P25</v>
          </cell>
          <cell r="B237" t="str">
            <v>Telecommunication expenses</v>
          </cell>
          <cell r="C237">
            <v>52574111</v>
          </cell>
          <cell r="D237" t="str">
            <v>Cell Phone SS</v>
          </cell>
          <cell r="E237" t="str">
            <v>675.1</v>
          </cell>
          <cell r="R237">
            <v>0</v>
          </cell>
        </row>
        <row r="238">
          <cell r="A238" t="str">
            <v>P25</v>
          </cell>
          <cell r="B238" t="str">
            <v>Telecommunication expenses</v>
          </cell>
          <cell r="C238">
            <v>52574113</v>
          </cell>
          <cell r="D238" t="str">
            <v>Cell Phone WT</v>
          </cell>
          <cell r="E238" t="str">
            <v>675.3</v>
          </cell>
          <cell r="R238">
            <v>2987</v>
          </cell>
        </row>
        <row r="239">
          <cell r="A239" t="str">
            <v>P25</v>
          </cell>
          <cell r="B239" t="str">
            <v>Telecommunication expenses</v>
          </cell>
          <cell r="C239">
            <v>52574114</v>
          </cell>
          <cell r="D239" t="str">
            <v>Cell Phone TD</v>
          </cell>
          <cell r="E239" t="str">
            <v>675.5</v>
          </cell>
          <cell r="R239">
            <v>1605</v>
          </cell>
        </row>
        <row r="240">
          <cell r="A240" t="str">
            <v>P25</v>
          </cell>
          <cell r="B240" t="str">
            <v>Telecommunication expenses</v>
          </cell>
          <cell r="C240">
            <v>52574115</v>
          </cell>
          <cell r="D240" t="str">
            <v>Cell Phone CA</v>
          </cell>
          <cell r="E240" t="str">
            <v>675.7</v>
          </cell>
          <cell r="R240">
            <v>19248</v>
          </cell>
        </row>
        <row r="241">
          <cell r="A241" t="str">
            <v>P25</v>
          </cell>
          <cell r="B241" t="str">
            <v>Telecommunication expenses</v>
          </cell>
          <cell r="C241">
            <v>52574116</v>
          </cell>
          <cell r="D241" t="str">
            <v>Cell Phone AG</v>
          </cell>
          <cell r="E241" t="str">
            <v>675.8</v>
          </cell>
          <cell r="R241">
            <v>52154</v>
          </cell>
        </row>
        <row r="242">
          <cell r="A242" t="str">
            <v>P25</v>
          </cell>
          <cell r="B242" t="str">
            <v>Telecommunication expenses</v>
          </cell>
          <cell r="C242">
            <v>52574200</v>
          </cell>
          <cell r="D242" t="str">
            <v>Data Lines AG</v>
          </cell>
          <cell r="E242" t="str">
            <v>675.8</v>
          </cell>
          <cell r="R242">
            <v>0</v>
          </cell>
        </row>
        <row r="243">
          <cell r="A243" t="str">
            <v>P25</v>
          </cell>
          <cell r="B243" t="str">
            <v>Telecommunication expenses</v>
          </cell>
          <cell r="C243">
            <v>52574300</v>
          </cell>
          <cell r="D243" t="str">
            <v>Wireless Serv 1st</v>
          </cell>
          <cell r="E243" t="str">
            <v>675.8</v>
          </cell>
          <cell r="R243">
            <v>0</v>
          </cell>
        </row>
        <row r="244">
          <cell r="A244" t="str">
            <v>P25</v>
          </cell>
          <cell r="B244" t="str">
            <v>Telecommunication expenses</v>
          </cell>
          <cell r="C244">
            <v>52574316</v>
          </cell>
          <cell r="D244" t="str">
            <v>Wireless Serv 1st AG</v>
          </cell>
          <cell r="E244" t="str">
            <v>675.8</v>
          </cell>
          <cell r="R244">
            <v>120</v>
          </cell>
        </row>
        <row r="245">
          <cell r="A245" t="str">
            <v>P25 Total</v>
          </cell>
          <cell r="B245"/>
          <cell r="C245"/>
          <cell r="D245"/>
          <cell r="E245"/>
          <cell r="R245">
            <v>250802</v>
          </cell>
        </row>
        <row r="246">
          <cell r="A246" t="str">
            <v>P26</v>
          </cell>
          <cell r="B246" t="str">
            <v>Postage, printing and stationary</v>
          </cell>
          <cell r="C246">
            <v>52562500</v>
          </cell>
          <cell r="D246" t="str">
            <v>Overnight Shippng</v>
          </cell>
          <cell r="E246" t="str">
            <v>675.8</v>
          </cell>
          <cell r="R246">
            <v>10832</v>
          </cell>
        </row>
        <row r="247">
          <cell r="A247" t="str">
            <v>P26</v>
          </cell>
          <cell r="B247" t="str">
            <v>Postage, printing and stationary</v>
          </cell>
          <cell r="C247">
            <v>52562511</v>
          </cell>
          <cell r="D247" t="str">
            <v>Overnight Shippng SS</v>
          </cell>
          <cell r="E247" t="str">
            <v>675.1</v>
          </cell>
          <cell r="R247">
            <v>0</v>
          </cell>
        </row>
        <row r="248">
          <cell r="A248" t="str">
            <v>P26</v>
          </cell>
          <cell r="B248" t="str">
            <v>Postage, printing and stationary</v>
          </cell>
          <cell r="C248">
            <v>52562513</v>
          </cell>
          <cell r="D248" t="str">
            <v>Overnight Shippng WT</v>
          </cell>
          <cell r="E248" t="str">
            <v>675.3</v>
          </cell>
          <cell r="R248">
            <v>10363</v>
          </cell>
        </row>
        <row r="249">
          <cell r="A249" t="str">
            <v>P26</v>
          </cell>
          <cell r="B249" t="str">
            <v>Postage, printing and stationary</v>
          </cell>
          <cell r="C249">
            <v>52562514</v>
          </cell>
          <cell r="D249" t="str">
            <v>Overnight Shippng TD</v>
          </cell>
          <cell r="E249" t="str">
            <v>675.5</v>
          </cell>
          <cell r="R249">
            <v>406</v>
          </cell>
        </row>
        <row r="250">
          <cell r="A250" t="str">
            <v>P26</v>
          </cell>
          <cell r="B250" t="str">
            <v>Postage, printing and stationary</v>
          </cell>
          <cell r="C250">
            <v>52562516</v>
          </cell>
          <cell r="D250" t="str">
            <v>Overnight Shippng AG</v>
          </cell>
          <cell r="E250" t="str">
            <v>675.8</v>
          </cell>
          <cell r="R250">
            <v>2218</v>
          </cell>
        </row>
        <row r="251">
          <cell r="A251" t="str">
            <v>P26</v>
          </cell>
          <cell r="B251" t="str">
            <v>Postage, printing and stationary</v>
          </cell>
          <cell r="C251">
            <v>52566000</v>
          </cell>
          <cell r="D251" t="str">
            <v>Postage</v>
          </cell>
          <cell r="E251" t="str">
            <v>675.8</v>
          </cell>
          <cell r="R251">
            <v>1248</v>
          </cell>
        </row>
        <row r="252">
          <cell r="A252" t="str">
            <v>P26</v>
          </cell>
          <cell r="B252" t="str">
            <v>Postage, printing and stationary</v>
          </cell>
          <cell r="C252">
            <v>52566016</v>
          </cell>
          <cell r="D252" t="str">
            <v>Postage AG</v>
          </cell>
          <cell r="E252" t="str">
            <v>675.8</v>
          </cell>
          <cell r="R252">
            <v>776</v>
          </cell>
        </row>
        <row r="253">
          <cell r="A253" t="str">
            <v>P26</v>
          </cell>
          <cell r="B253" t="str">
            <v>Postage, printing and stationary</v>
          </cell>
          <cell r="C253">
            <v>52566700</v>
          </cell>
          <cell r="D253" t="str">
            <v>Printing</v>
          </cell>
          <cell r="E253" t="str">
            <v>675.8</v>
          </cell>
          <cell r="R253">
            <v>3353</v>
          </cell>
        </row>
        <row r="254">
          <cell r="A254" t="str">
            <v>P26 Total</v>
          </cell>
          <cell r="B254"/>
          <cell r="C254"/>
          <cell r="D254"/>
          <cell r="E254"/>
          <cell r="R254">
            <v>29196</v>
          </cell>
        </row>
        <row r="255">
          <cell r="A255" t="str">
            <v>P27</v>
          </cell>
          <cell r="B255" t="str">
            <v>Office supplies and services</v>
          </cell>
          <cell r="C255">
            <v>52510000</v>
          </cell>
          <cell r="D255" t="str">
            <v>Bank Svc Charges</v>
          </cell>
          <cell r="E255" t="str">
            <v>675.8</v>
          </cell>
          <cell r="R255">
            <v>0</v>
          </cell>
        </row>
        <row r="256">
          <cell r="A256" t="str">
            <v>P27</v>
          </cell>
          <cell r="B256" t="str">
            <v>Office supplies and services</v>
          </cell>
          <cell r="C256">
            <v>52510016</v>
          </cell>
          <cell r="D256" t="str">
            <v>Bank Svc Charges-AG</v>
          </cell>
          <cell r="E256" t="str">
            <v>675.8</v>
          </cell>
          <cell r="R256">
            <v>92</v>
          </cell>
        </row>
        <row r="257">
          <cell r="A257" t="str">
            <v>P27</v>
          </cell>
          <cell r="B257" t="str">
            <v>Office supplies and services</v>
          </cell>
          <cell r="C257">
            <v>52512500</v>
          </cell>
          <cell r="D257" t="str">
            <v>Books&amp;Publications</v>
          </cell>
          <cell r="E257" t="str">
            <v>675.8</v>
          </cell>
          <cell r="R257">
            <v>248</v>
          </cell>
        </row>
        <row r="258">
          <cell r="A258" t="str">
            <v>P27</v>
          </cell>
          <cell r="B258" t="str">
            <v>Office supplies and services</v>
          </cell>
          <cell r="C258">
            <v>52526100</v>
          </cell>
          <cell r="D258" t="str">
            <v>Credit Line Fees I/C</v>
          </cell>
          <cell r="E258" t="str">
            <v>675.8</v>
          </cell>
          <cell r="R258">
            <v>52682</v>
          </cell>
        </row>
        <row r="259">
          <cell r="A259" t="str">
            <v>P27</v>
          </cell>
          <cell r="B259" t="str">
            <v>Office supplies and services</v>
          </cell>
          <cell r="C259">
            <v>52542000</v>
          </cell>
          <cell r="D259" t="str">
            <v>Forms</v>
          </cell>
          <cell r="E259" t="str">
            <v>675.8</v>
          </cell>
          <cell r="R259">
            <v>0</v>
          </cell>
        </row>
        <row r="260">
          <cell r="A260" t="str">
            <v>P27</v>
          </cell>
          <cell r="B260" t="str">
            <v>Office supplies and services</v>
          </cell>
          <cell r="C260">
            <v>52542016</v>
          </cell>
          <cell r="D260" t="str">
            <v>Forms AG</v>
          </cell>
          <cell r="E260" t="str">
            <v>675.8</v>
          </cell>
          <cell r="R260">
            <v>1079</v>
          </cell>
        </row>
        <row r="261">
          <cell r="A261" t="str">
            <v>P27</v>
          </cell>
          <cell r="B261" t="str">
            <v>Office supplies and services</v>
          </cell>
          <cell r="C261">
            <v>52562000</v>
          </cell>
          <cell r="D261" t="str">
            <v>Office Supplies</v>
          </cell>
          <cell r="E261" t="str">
            <v>675.8</v>
          </cell>
          <cell r="R261">
            <v>18640</v>
          </cell>
        </row>
        <row r="262">
          <cell r="A262" t="str">
            <v>P27</v>
          </cell>
          <cell r="B262" t="str">
            <v>Office supplies and services</v>
          </cell>
          <cell r="C262">
            <v>52562011</v>
          </cell>
          <cell r="D262" t="str">
            <v>Off&amp;Adm Supplies SS</v>
          </cell>
          <cell r="E262" t="str">
            <v>675.1</v>
          </cell>
          <cell r="R262">
            <v>33</v>
          </cell>
        </row>
        <row r="263">
          <cell r="A263" t="str">
            <v>P27</v>
          </cell>
          <cell r="B263" t="str">
            <v>Office supplies and services</v>
          </cell>
          <cell r="C263">
            <v>52562013</v>
          </cell>
          <cell r="D263" t="str">
            <v>Off&amp;Adm Supplies WT</v>
          </cell>
          <cell r="E263" t="str">
            <v>675.3</v>
          </cell>
          <cell r="R263">
            <v>9449</v>
          </cell>
        </row>
        <row r="264">
          <cell r="A264" t="str">
            <v>P27</v>
          </cell>
          <cell r="B264" t="str">
            <v>Office supplies and services</v>
          </cell>
          <cell r="C264">
            <v>52562014</v>
          </cell>
          <cell r="D264" t="str">
            <v>Off&amp;Adm Supplies TD</v>
          </cell>
          <cell r="E264" t="str">
            <v>675.5</v>
          </cell>
          <cell r="R264">
            <v>3818</v>
          </cell>
        </row>
        <row r="265">
          <cell r="A265" t="str">
            <v>P27</v>
          </cell>
          <cell r="B265" t="str">
            <v>Office supplies and services</v>
          </cell>
          <cell r="C265">
            <v>52562015</v>
          </cell>
          <cell r="D265" t="str">
            <v>Off&amp;Adm Supplies CA</v>
          </cell>
          <cell r="E265" t="str">
            <v>675.7</v>
          </cell>
          <cell r="R265">
            <v>0</v>
          </cell>
        </row>
        <row r="266">
          <cell r="A266" t="str">
            <v>P27</v>
          </cell>
          <cell r="B266" t="str">
            <v>Office supplies and services</v>
          </cell>
          <cell r="C266">
            <v>52562016</v>
          </cell>
          <cell r="D266" t="str">
            <v>Off&amp;Adm Supplies AG</v>
          </cell>
          <cell r="E266" t="str">
            <v>675.8</v>
          </cell>
          <cell r="R266">
            <v>10128</v>
          </cell>
        </row>
        <row r="267">
          <cell r="A267" t="str">
            <v>P27</v>
          </cell>
          <cell r="B267" t="str">
            <v>Office supplies and services</v>
          </cell>
          <cell r="C267">
            <v>52571500</v>
          </cell>
          <cell r="D267" t="str">
            <v>Software Licenses</v>
          </cell>
          <cell r="E267" t="str">
            <v>675.8</v>
          </cell>
          <cell r="R267">
            <v>150263</v>
          </cell>
        </row>
        <row r="268">
          <cell r="A268" t="str">
            <v>P27</v>
          </cell>
          <cell r="B268" t="str">
            <v>Office supplies and services</v>
          </cell>
          <cell r="C268">
            <v>52582000</v>
          </cell>
          <cell r="D268" t="str">
            <v>Uniforms</v>
          </cell>
          <cell r="E268" t="str">
            <v>675.7</v>
          </cell>
          <cell r="R268">
            <v>18138</v>
          </cell>
        </row>
        <row r="269">
          <cell r="A269" t="str">
            <v>P27</v>
          </cell>
          <cell r="B269" t="str">
            <v>Office supplies and services</v>
          </cell>
          <cell r="C269">
            <v>52582011</v>
          </cell>
          <cell r="D269" t="str">
            <v>Uniforms SS</v>
          </cell>
          <cell r="E269" t="str">
            <v>675.1</v>
          </cell>
          <cell r="R269">
            <v>0</v>
          </cell>
        </row>
        <row r="270">
          <cell r="A270" t="str">
            <v>P27</v>
          </cell>
          <cell r="B270" t="str">
            <v>Office supplies and services</v>
          </cell>
          <cell r="C270">
            <v>52582012</v>
          </cell>
          <cell r="D270" t="str">
            <v>Uniforms P</v>
          </cell>
          <cell r="E270" t="str">
            <v>675.3</v>
          </cell>
          <cell r="R270">
            <v>0</v>
          </cell>
        </row>
        <row r="271">
          <cell r="A271" t="str">
            <v>P27</v>
          </cell>
          <cell r="B271" t="str">
            <v>Office supplies and services</v>
          </cell>
          <cell r="C271">
            <v>52582013</v>
          </cell>
          <cell r="D271" t="str">
            <v>Uniforms WT</v>
          </cell>
          <cell r="E271" t="str">
            <v>675.3</v>
          </cell>
          <cell r="R271">
            <v>9332</v>
          </cell>
        </row>
        <row r="272">
          <cell r="A272" t="str">
            <v>P27</v>
          </cell>
          <cell r="B272" t="str">
            <v>Office supplies and services</v>
          </cell>
          <cell r="C272">
            <v>52582014</v>
          </cell>
          <cell r="D272" t="str">
            <v>Uniforms TD</v>
          </cell>
          <cell r="E272" t="str">
            <v>675.5</v>
          </cell>
          <cell r="R272">
            <v>10053</v>
          </cell>
        </row>
        <row r="273">
          <cell r="A273" t="str">
            <v>P27</v>
          </cell>
          <cell r="B273" t="str">
            <v>Office supplies and services</v>
          </cell>
          <cell r="C273">
            <v>52582016</v>
          </cell>
          <cell r="D273" t="str">
            <v>Uniforms AG</v>
          </cell>
          <cell r="E273" t="str">
            <v>675.7</v>
          </cell>
          <cell r="R273">
            <v>1304</v>
          </cell>
        </row>
        <row r="274">
          <cell r="A274" t="str">
            <v>P27</v>
          </cell>
          <cell r="B274" t="str">
            <v>Office supplies and services</v>
          </cell>
          <cell r="C274">
            <v>52801100</v>
          </cell>
          <cell r="D274" t="str">
            <v>Indirect OH Clearing</v>
          </cell>
          <cell r="E274" t="str">
            <v>675.8</v>
          </cell>
          <cell r="R274">
            <v>0</v>
          </cell>
        </row>
        <row r="275">
          <cell r="A275" t="str">
            <v>P27</v>
          </cell>
          <cell r="B275" t="str">
            <v>Office supplies and services</v>
          </cell>
          <cell r="C275">
            <v>52805100</v>
          </cell>
          <cell r="D275" t="str">
            <v>Indirect OH RWIP Clr</v>
          </cell>
          <cell r="E275" t="str">
            <v>675.8</v>
          </cell>
          <cell r="R275">
            <v>0</v>
          </cell>
        </row>
        <row r="276">
          <cell r="A276" t="str">
            <v>P27 Total</v>
          </cell>
          <cell r="B276"/>
          <cell r="C276"/>
          <cell r="D276"/>
          <cell r="E276"/>
          <cell r="R276">
            <v>285259</v>
          </cell>
        </row>
        <row r="277">
          <cell r="A277" t="str">
            <v>P28</v>
          </cell>
          <cell r="B277" t="str">
            <v>Advertising &amp; marketing expenses</v>
          </cell>
          <cell r="C277">
            <v>52503000</v>
          </cell>
          <cell r="D277" t="str">
            <v>Advertising</v>
          </cell>
          <cell r="E277" t="str">
            <v>660.8</v>
          </cell>
          <cell r="R277">
            <v>7988</v>
          </cell>
        </row>
        <row r="278">
          <cell r="A278" t="str">
            <v>P28 Total</v>
          </cell>
          <cell r="B278"/>
          <cell r="C278"/>
          <cell r="D278"/>
          <cell r="E278"/>
          <cell r="R278">
            <v>7988</v>
          </cell>
        </row>
        <row r="279">
          <cell r="A279" t="str">
            <v>P29</v>
          </cell>
          <cell r="B279" t="str">
            <v>Employee related expense travel &amp; entertainme</v>
          </cell>
          <cell r="C279">
            <v>52534000</v>
          </cell>
          <cell r="D279" t="str">
            <v>Employee Expenses</v>
          </cell>
          <cell r="E279" t="str">
            <v>675.8</v>
          </cell>
          <cell r="R279">
            <v>72245</v>
          </cell>
        </row>
        <row r="280">
          <cell r="A280" t="str">
            <v>P29</v>
          </cell>
          <cell r="B280" t="str">
            <v>Employee related expense travel &amp; entertainme</v>
          </cell>
          <cell r="C280">
            <v>52534021</v>
          </cell>
          <cell r="D280" t="str">
            <v>Travel - Meals</v>
          </cell>
          <cell r="E280" t="str">
            <v>675.8</v>
          </cell>
          <cell r="R280">
            <v>0</v>
          </cell>
        </row>
        <row r="281">
          <cell r="A281" t="str">
            <v>P29</v>
          </cell>
          <cell r="B281" t="str">
            <v>Employee related expense travel &amp; entertainme</v>
          </cell>
          <cell r="C281">
            <v>52534200</v>
          </cell>
          <cell r="D281" t="str">
            <v>Conferences &amp; Reg</v>
          </cell>
          <cell r="E281" t="str">
            <v>675.8</v>
          </cell>
          <cell r="R281">
            <v>8813</v>
          </cell>
        </row>
        <row r="282">
          <cell r="A282" t="str">
            <v>P29</v>
          </cell>
          <cell r="B282" t="str">
            <v>Employee related expense travel &amp; entertainme</v>
          </cell>
          <cell r="C282">
            <v>52535000</v>
          </cell>
          <cell r="D282" t="str">
            <v>Meals Deductible</v>
          </cell>
          <cell r="E282" t="str">
            <v>675.8</v>
          </cell>
          <cell r="R282">
            <v>35622</v>
          </cell>
        </row>
        <row r="283">
          <cell r="A283" t="str">
            <v>P29</v>
          </cell>
          <cell r="B283" t="str">
            <v>Employee related expense travel &amp; entertainme</v>
          </cell>
          <cell r="C283">
            <v>52535100</v>
          </cell>
          <cell r="D283" t="str">
            <v>Meals Nondeductible</v>
          </cell>
          <cell r="E283" t="str">
            <v>675.8</v>
          </cell>
          <cell r="R283">
            <v>0</v>
          </cell>
        </row>
        <row r="284">
          <cell r="A284" t="str">
            <v>P29</v>
          </cell>
          <cell r="B284" t="str">
            <v>Employee related expense travel &amp; entertainme</v>
          </cell>
          <cell r="C284">
            <v>52567000</v>
          </cell>
          <cell r="D284" t="str">
            <v>Relocation Expenses</v>
          </cell>
          <cell r="E284" t="str">
            <v>675.8</v>
          </cell>
          <cell r="R284">
            <v>10034</v>
          </cell>
        </row>
        <row r="285">
          <cell r="A285" t="str">
            <v>P29 Total</v>
          </cell>
          <cell r="B285"/>
          <cell r="C285"/>
          <cell r="D285"/>
          <cell r="E285"/>
          <cell r="R285">
            <v>126714</v>
          </cell>
        </row>
        <row r="286">
          <cell r="A286" t="str">
            <v>P30</v>
          </cell>
          <cell r="B286" t="str">
            <v>Miscellaneous expenses</v>
          </cell>
          <cell r="C286">
            <v>52000000</v>
          </cell>
          <cell r="D286" t="str">
            <v>M&amp;S Expense (O&amp;M)</v>
          </cell>
          <cell r="E286" t="str">
            <v>620.5</v>
          </cell>
          <cell r="R286">
            <v>78639</v>
          </cell>
        </row>
        <row r="287">
          <cell r="A287" t="str">
            <v>P30</v>
          </cell>
          <cell r="B287" t="str">
            <v>Miscellaneous expenses</v>
          </cell>
          <cell r="C287">
            <v>52001000</v>
          </cell>
          <cell r="D287" t="str">
            <v>M&amp;S Expense (O&amp;M)</v>
          </cell>
          <cell r="E287" t="str">
            <v>620.5</v>
          </cell>
          <cell r="R287">
            <v>-70867.805123857834</v>
          </cell>
        </row>
        <row r="288">
          <cell r="A288" t="str">
            <v>P30</v>
          </cell>
          <cell r="B288" t="str">
            <v>Miscellaneous expenses</v>
          </cell>
          <cell r="C288">
            <v>52001100</v>
          </cell>
          <cell r="D288" t="str">
            <v>M&amp;S Oper SS</v>
          </cell>
          <cell r="E288" t="str">
            <v>620.1</v>
          </cell>
          <cell r="R288">
            <v>129</v>
          </cell>
        </row>
        <row r="289">
          <cell r="A289" t="str">
            <v>P30</v>
          </cell>
          <cell r="B289" t="str">
            <v>Miscellaneous expenses</v>
          </cell>
          <cell r="C289">
            <v>52001200</v>
          </cell>
          <cell r="D289" t="str">
            <v>M&amp;S Oper P</v>
          </cell>
          <cell r="E289" t="str">
            <v>620.1</v>
          </cell>
          <cell r="R289">
            <v>-1088</v>
          </cell>
        </row>
        <row r="290">
          <cell r="A290" t="str">
            <v>P30</v>
          </cell>
          <cell r="B290" t="str">
            <v>Miscellaneous expenses</v>
          </cell>
          <cell r="C290">
            <v>52001300</v>
          </cell>
          <cell r="D290" t="str">
            <v>M&amp;S Oper WT</v>
          </cell>
          <cell r="E290" t="str">
            <v>620.3</v>
          </cell>
          <cell r="R290">
            <v>31120</v>
          </cell>
        </row>
        <row r="291">
          <cell r="A291" t="str">
            <v>P30</v>
          </cell>
          <cell r="B291" t="str">
            <v>Miscellaneous expenses</v>
          </cell>
          <cell r="C291">
            <v>52001400</v>
          </cell>
          <cell r="D291" t="str">
            <v>M&amp;S Oper TD</v>
          </cell>
          <cell r="E291" t="str">
            <v>620.5</v>
          </cell>
          <cell r="R291">
            <v>30078</v>
          </cell>
        </row>
        <row r="292">
          <cell r="A292" t="str">
            <v>P30</v>
          </cell>
          <cell r="B292" t="str">
            <v>Miscellaneous expenses</v>
          </cell>
          <cell r="C292">
            <v>52001500</v>
          </cell>
          <cell r="D292" t="str">
            <v>M&amp;S Oper CA</v>
          </cell>
          <cell r="E292" t="str">
            <v>620.7</v>
          </cell>
          <cell r="R292">
            <v>504</v>
          </cell>
        </row>
        <row r="293">
          <cell r="A293" t="str">
            <v>P30</v>
          </cell>
          <cell r="B293" t="str">
            <v>Miscellaneous expenses</v>
          </cell>
          <cell r="C293">
            <v>52001600</v>
          </cell>
          <cell r="D293" t="str">
            <v>M&amp;S Oper AG</v>
          </cell>
          <cell r="E293" t="str">
            <v>620.8</v>
          </cell>
          <cell r="R293">
            <v>21962</v>
          </cell>
        </row>
        <row r="294">
          <cell r="A294" t="str">
            <v>P30</v>
          </cell>
          <cell r="B294" t="str">
            <v>Miscellaneous expenses</v>
          </cell>
          <cell r="C294">
            <v>52500000</v>
          </cell>
          <cell r="D294" t="str">
            <v>Misc Expense (O&amp;M)</v>
          </cell>
          <cell r="E294" t="str">
            <v>675.8</v>
          </cell>
          <cell r="R294">
            <v>55070</v>
          </cell>
        </row>
        <row r="295">
          <cell r="A295" t="str">
            <v>P30</v>
          </cell>
          <cell r="B295" t="str">
            <v>Miscellaneous expenses</v>
          </cell>
          <cell r="C295">
            <v>52501100</v>
          </cell>
          <cell r="D295" t="str">
            <v>Misc Oper SS</v>
          </cell>
          <cell r="E295" t="str">
            <v>675.1</v>
          </cell>
          <cell r="R295">
            <v>1951</v>
          </cell>
        </row>
        <row r="296">
          <cell r="A296" t="str">
            <v>P30</v>
          </cell>
          <cell r="B296" t="str">
            <v>Miscellaneous expenses</v>
          </cell>
          <cell r="C296">
            <v>52501200</v>
          </cell>
          <cell r="D296" t="str">
            <v>Misc Oper P</v>
          </cell>
          <cell r="E296" t="str">
            <v>675.1</v>
          </cell>
          <cell r="R296">
            <v>13</v>
          </cell>
        </row>
        <row r="297">
          <cell r="A297" t="str">
            <v>P30</v>
          </cell>
          <cell r="B297" t="str">
            <v>Miscellaneous expenses</v>
          </cell>
          <cell r="C297">
            <v>52501300</v>
          </cell>
          <cell r="D297" t="str">
            <v>Misc Oper WT</v>
          </cell>
          <cell r="E297" t="str">
            <v>675.3</v>
          </cell>
          <cell r="R297">
            <v>8243</v>
          </cell>
        </row>
        <row r="298">
          <cell r="A298" t="str">
            <v>P30</v>
          </cell>
          <cell r="B298" t="str">
            <v>Miscellaneous expenses</v>
          </cell>
          <cell r="C298">
            <v>52501400</v>
          </cell>
          <cell r="D298" t="str">
            <v>Misc Oper TD</v>
          </cell>
          <cell r="E298" t="str">
            <v>675.5</v>
          </cell>
          <cell r="R298">
            <v>64614</v>
          </cell>
        </row>
        <row r="299">
          <cell r="A299" t="str">
            <v>P30</v>
          </cell>
          <cell r="B299" t="str">
            <v>Miscellaneous expenses</v>
          </cell>
          <cell r="C299">
            <v>52501600</v>
          </cell>
          <cell r="D299" t="str">
            <v>Misc Oper AG</v>
          </cell>
          <cell r="E299" t="str">
            <v>675.8</v>
          </cell>
          <cell r="R299">
            <v>-81175</v>
          </cell>
        </row>
        <row r="300">
          <cell r="A300" t="str">
            <v>P30</v>
          </cell>
          <cell r="B300" t="str">
            <v>Miscellaneous expenses</v>
          </cell>
          <cell r="C300">
            <v>52514000</v>
          </cell>
          <cell r="D300" t="str">
            <v>Charitb Contr Deduct</v>
          </cell>
          <cell r="E300" t="str">
            <v>675.8</v>
          </cell>
          <cell r="R300">
            <v>0</v>
          </cell>
        </row>
        <row r="301">
          <cell r="A301" t="str">
            <v>P30</v>
          </cell>
          <cell r="B301" t="str">
            <v>Miscellaneous expenses</v>
          </cell>
          <cell r="C301">
            <v>52514500</v>
          </cell>
          <cell r="D301" t="str">
            <v>Charitb Don-H/Ed/En</v>
          </cell>
          <cell r="E301" t="str">
            <v>675.8</v>
          </cell>
          <cell r="R301">
            <v>49472</v>
          </cell>
        </row>
        <row r="302">
          <cell r="A302" t="str">
            <v>P30</v>
          </cell>
          <cell r="B302" t="str">
            <v>Miscellaneous expenses</v>
          </cell>
          <cell r="C302">
            <v>52514600</v>
          </cell>
          <cell r="D302" t="str">
            <v>Charitb Don-Commnty</v>
          </cell>
          <cell r="E302" t="str">
            <v>675.8</v>
          </cell>
          <cell r="R302">
            <v>36988</v>
          </cell>
        </row>
        <row r="303">
          <cell r="A303" t="str">
            <v>P30</v>
          </cell>
          <cell r="B303" t="str">
            <v>Miscellaneous expenses</v>
          </cell>
          <cell r="C303">
            <v>52514700</v>
          </cell>
          <cell r="D303" t="str">
            <v>Community Partnrshps</v>
          </cell>
          <cell r="E303" t="str">
            <v>675.8</v>
          </cell>
          <cell r="R303">
            <v>41694</v>
          </cell>
        </row>
        <row r="304">
          <cell r="A304" t="str">
            <v>P30</v>
          </cell>
          <cell r="B304" t="str">
            <v>Miscellaneous expenses</v>
          </cell>
          <cell r="C304">
            <v>52514901</v>
          </cell>
          <cell r="D304" t="str">
            <v>Cust Edu Comm-Reg</v>
          </cell>
          <cell r="E304" t="str">
            <v>675.8</v>
          </cell>
          <cell r="R304">
            <v>11721</v>
          </cell>
        </row>
        <row r="305">
          <cell r="A305" t="str">
            <v>P30</v>
          </cell>
          <cell r="B305" t="str">
            <v>Miscellaneous expenses</v>
          </cell>
          <cell r="C305">
            <v>52514903</v>
          </cell>
          <cell r="D305" t="str">
            <v>Cust Edu Comm-Issues</v>
          </cell>
          <cell r="E305" t="str">
            <v>675.8</v>
          </cell>
          <cell r="R305">
            <v>14387</v>
          </cell>
        </row>
        <row r="306">
          <cell r="A306" t="str">
            <v>P30</v>
          </cell>
          <cell r="B306" t="str">
            <v>Miscellaneous expenses</v>
          </cell>
          <cell r="C306">
            <v>52514904</v>
          </cell>
          <cell r="D306" t="str">
            <v>Cust Edu Comm-Consrv</v>
          </cell>
          <cell r="E306" t="str">
            <v>675.8</v>
          </cell>
          <cell r="R306">
            <v>57981</v>
          </cell>
        </row>
        <row r="307">
          <cell r="A307" t="str">
            <v>P30</v>
          </cell>
          <cell r="B307" t="str">
            <v>Miscellaneous expenses</v>
          </cell>
          <cell r="C307">
            <v>52514905</v>
          </cell>
          <cell r="D307" t="str">
            <v>Cust Edu Comm-Printd</v>
          </cell>
          <cell r="E307" t="str">
            <v>675.8</v>
          </cell>
          <cell r="R307">
            <v>11153</v>
          </cell>
        </row>
        <row r="308">
          <cell r="A308" t="str">
            <v>P30</v>
          </cell>
          <cell r="B308" t="str">
            <v>Miscellaneous expenses</v>
          </cell>
          <cell r="C308">
            <v>52514907</v>
          </cell>
          <cell r="D308" t="str">
            <v>Cust Edu-Press Rls</v>
          </cell>
          <cell r="E308" t="str">
            <v>675.8</v>
          </cell>
          <cell r="R308">
            <v>1542</v>
          </cell>
        </row>
        <row r="309">
          <cell r="A309" t="str">
            <v>P30</v>
          </cell>
          <cell r="B309" t="str">
            <v>Miscellaneous expenses</v>
          </cell>
          <cell r="C309">
            <v>52514909</v>
          </cell>
          <cell r="D309" t="str">
            <v>Cust Edu-Video&amp;Photo</v>
          </cell>
          <cell r="E309" t="str">
            <v>675.8</v>
          </cell>
          <cell r="R309">
            <v>5672</v>
          </cell>
        </row>
        <row r="310">
          <cell r="A310" t="str">
            <v>P30</v>
          </cell>
          <cell r="B310" t="str">
            <v>Miscellaneous expenses</v>
          </cell>
          <cell r="C310">
            <v>52515000</v>
          </cell>
          <cell r="D310" t="str">
            <v>Commun Relations-E</v>
          </cell>
          <cell r="E310" t="str">
            <v>675.8</v>
          </cell>
          <cell r="R310">
            <v>9309</v>
          </cell>
        </row>
        <row r="311">
          <cell r="A311" t="str">
            <v>P30</v>
          </cell>
          <cell r="B311" t="str">
            <v>Miscellaneous expenses</v>
          </cell>
          <cell r="C311">
            <v>52515001</v>
          </cell>
          <cell r="D311" t="str">
            <v>Commun Relations-S</v>
          </cell>
          <cell r="E311" t="str">
            <v>675.8</v>
          </cell>
          <cell r="R311">
            <v>3469</v>
          </cell>
        </row>
        <row r="312">
          <cell r="A312" t="str">
            <v>P30</v>
          </cell>
          <cell r="B312" t="str">
            <v>Miscellaneous expenses</v>
          </cell>
          <cell r="C312">
            <v>52522000</v>
          </cell>
          <cell r="D312" t="str">
            <v>Community Relations</v>
          </cell>
          <cell r="E312" t="str">
            <v>675.8</v>
          </cell>
          <cell r="R312">
            <v>250</v>
          </cell>
        </row>
        <row r="313">
          <cell r="A313" t="str">
            <v>P30</v>
          </cell>
          <cell r="B313" t="str">
            <v>Miscellaneous expenses</v>
          </cell>
          <cell r="C313">
            <v>52524000</v>
          </cell>
          <cell r="D313" t="str">
            <v>Co Dues/Mmbrshp Ded</v>
          </cell>
          <cell r="E313" t="str">
            <v>675.8</v>
          </cell>
          <cell r="R313">
            <v>94071</v>
          </cell>
        </row>
        <row r="314">
          <cell r="A314" t="str">
            <v>P30</v>
          </cell>
          <cell r="B314" t="str">
            <v>Miscellaneous expenses</v>
          </cell>
          <cell r="C314">
            <v>52527000</v>
          </cell>
          <cell r="D314" t="str">
            <v>Directors Fees</v>
          </cell>
          <cell r="E314" t="str">
            <v>675.8</v>
          </cell>
          <cell r="R314">
            <v>43350</v>
          </cell>
        </row>
        <row r="315">
          <cell r="A315" t="str">
            <v>P30</v>
          </cell>
          <cell r="B315" t="str">
            <v>Miscellaneous expenses</v>
          </cell>
          <cell r="C315">
            <v>52528000</v>
          </cell>
          <cell r="D315" t="str">
            <v>Dues/Membership Deductible</v>
          </cell>
          <cell r="E315" t="str">
            <v>675.8</v>
          </cell>
          <cell r="R315">
            <v>0</v>
          </cell>
        </row>
        <row r="316">
          <cell r="A316" t="str">
            <v>P30</v>
          </cell>
          <cell r="B316" t="str">
            <v>Miscellaneous expenses</v>
          </cell>
          <cell r="C316">
            <v>52540000</v>
          </cell>
          <cell r="D316" t="str">
            <v>Amort Bus Svc ProjXp</v>
          </cell>
          <cell r="E316" t="str">
            <v>675.8</v>
          </cell>
          <cell r="R316">
            <v>574</v>
          </cell>
        </row>
        <row r="317">
          <cell r="A317" t="str">
            <v>P30</v>
          </cell>
          <cell r="B317" t="str">
            <v>Miscellaneous expenses</v>
          </cell>
          <cell r="C317">
            <v>52548100</v>
          </cell>
          <cell r="D317" t="str">
            <v>Hiring Costs</v>
          </cell>
          <cell r="E317" t="str">
            <v>675.8</v>
          </cell>
          <cell r="R317">
            <v>500</v>
          </cell>
        </row>
        <row r="318">
          <cell r="A318" t="str">
            <v>P30</v>
          </cell>
          <cell r="B318" t="str">
            <v>Miscellaneous expenses</v>
          </cell>
          <cell r="C318">
            <v>52549000</v>
          </cell>
          <cell r="D318" t="str">
            <v>Injuries and Damages</v>
          </cell>
          <cell r="E318" t="str">
            <v>675.8</v>
          </cell>
          <cell r="R318">
            <v>0</v>
          </cell>
        </row>
        <row r="319">
          <cell r="A319" t="str">
            <v>P30</v>
          </cell>
          <cell r="B319" t="str">
            <v>Miscellaneous expenses</v>
          </cell>
          <cell r="C319">
            <v>52549500</v>
          </cell>
          <cell r="D319" t="str">
            <v>Inv Phys W/O Scrap</v>
          </cell>
          <cell r="E319" t="str">
            <v>675.8</v>
          </cell>
          <cell r="R319">
            <v>-473</v>
          </cell>
        </row>
        <row r="320">
          <cell r="A320" t="str">
            <v>P30</v>
          </cell>
          <cell r="B320" t="str">
            <v>Miscellaneous expenses</v>
          </cell>
          <cell r="C320">
            <v>52554500</v>
          </cell>
          <cell r="D320" t="str">
            <v>Lab Supplies</v>
          </cell>
          <cell r="E320" t="str">
            <v>675.3</v>
          </cell>
          <cell r="R320">
            <v>104150</v>
          </cell>
        </row>
        <row r="321">
          <cell r="A321" t="str">
            <v>P30</v>
          </cell>
          <cell r="B321" t="str">
            <v>Miscellaneous expenses</v>
          </cell>
          <cell r="C321">
            <v>52556500</v>
          </cell>
          <cell r="D321" t="str">
            <v>Low Income Pay Prog</v>
          </cell>
          <cell r="E321" t="str">
            <v>675.8</v>
          </cell>
          <cell r="R321">
            <v>67500</v>
          </cell>
        </row>
        <row r="322">
          <cell r="A322" t="str">
            <v>P30</v>
          </cell>
          <cell r="B322" t="str">
            <v>Miscellaneous expenses</v>
          </cell>
          <cell r="C322">
            <v>52564000</v>
          </cell>
          <cell r="D322" t="str">
            <v>Penalties Non-deduct</v>
          </cell>
          <cell r="E322" t="str">
            <v>675.8</v>
          </cell>
          <cell r="R322">
            <v>518</v>
          </cell>
        </row>
        <row r="323">
          <cell r="A323" t="str">
            <v>P30</v>
          </cell>
          <cell r="B323" t="str">
            <v>Miscellaneous expenses</v>
          </cell>
          <cell r="C323">
            <v>52568000</v>
          </cell>
          <cell r="D323" t="str">
            <v>Research &amp; Develop</v>
          </cell>
          <cell r="E323" t="str">
            <v>675.8</v>
          </cell>
          <cell r="R323">
            <v>23632</v>
          </cell>
        </row>
        <row r="324">
          <cell r="A324" t="str">
            <v>P30</v>
          </cell>
          <cell r="B324" t="str">
            <v>Miscellaneous expenses</v>
          </cell>
          <cell r="C324">
            <v>52579000</v>
          </cell>
          <cell r="D324" t="str">
            <v>Trustee Fees</v>
          </cell>
          <cell r="E324" t="str">
            <v>675.8</v>
          </cell>
          <cell r="R324">
            <v>21029</v>
          </cell>
        </row>
        <row r="325">
          <cell r="A325" t="str">
            <v>P30</v>
          </cell>
          <cell r="B325" t="str">
            <v>Miscellaneous expenses</v>
          </cell>
          <cell r="C325">
            <v>52585000</v>
          </cell>
          <cell r="D325" t="str">
            <v>Discounts Available</v>
          </cell>
          <cell r="E325" t="str">
            <v>675.8</v>
          </cell>
          <cell r="R325">
            <v>-81092</v>
          </cell>
        </row>
        <row r="326">
          <cell r="A326" t="str">
            <v>P30</v>
          </cell>
          <cell r="B326" t="str">
            <v>Miscellaneous expenses</v>
          </cell>
          <cell r="C326">
            <v>52586000</v>
          </cell>
          <cell r="D326" t="str">
            <v>PO Small Differences</v>
          </cell>
          <cell r="E326" t="str">
            <v>675.8</v>
          </cell>
          <cell r="R326">
            <v>184</v>
          </cell>
        </row>
        <row r="327">
          <cell r="A327" t="str">
            <v>P30 Total</v>
          </cell>
          <cell r="B327"/>
          <cell r="C327"/>
          <cell r="D327"/>
          <cell r="E327"/>
          <cell r="R327">
            <v>656773.1948761422</v>
          </cell>
        </row>
        <row r="328">
          <cell r="A328" t="str">
            <v>P31</v>
          </cell>
          <cell r="B328" t="str">
            <v>Rents</v>
          </cell>
          <cell r="C328">
            <v>54110000</v>
          </cell>
          <cell r="D328" t="str">
            <v>Rents-Real Prop</v>
          </cell>
          <cell r="E328" t="str">
            <v>641.8</v>
          </cell>
          <cell r="R328">
            <v>5057</v>
          </cell>
        </row>
        <row r="329">
          <cell r="A329" t="str">
            <v>P31</v>
          </cell>
          <cell r="B329" t="str">
            <v>Rents</v>
          </cell>
          <cell r="C329">
            <v>54110013</v>
          </cell>
          <cell r="D329" t="str">
            <v>Rents-Real Prop WT</v>
          </cell>
          <cell r="E329" t="str">
            <v>641.3</v>
          </cell>
          <cell r="R329">
            <v>0</v>
          </cell>
        </row>
        <row r="330">
          <cell r="A330" t="str">
            <v>P31</v>
          </cell>
          <cell r="B330" t="str">
            <v>Rents</v>
          </cell>
          <cell r="C330">
            <v>54110014</v>
          </cell>
          <cell r="D330" t="str">
            <v>Rents-Real Prop TD</v>
          </cell>
          <cell r="E330" t="str">
            <v>641.5</v>
          </cell>
          <cell r="R330">
            <v>7148</v>
          </cell>
        </row>
        <row r="331">
          <cell r="A331" t="str">
            <v>P31</v>
          </cell>
          <cell r="B331" t="str">
            <v>Rents</v>
          </cell>
          <cell r="C331">
            <v>54110016</v>
          </cell>
          <cell r="D331" t="str">
            <v>Rents-Real Prop AG</v>
          </cell>
          <cell r="E331" t="str">
            <v>641.8</v>
          </cell>
          <cell r="R331">
            <v>1500</v>
          </cell>
        </row>
        <row r="332">
          <cell r="A332" t="str">
            <v>P31</v>
          </cell>
          <cell r="B332" t="str">
            <v>Rents</v>
          </cell>
          <cell r="C332">
            <v>54140000</v>
          </cell>
          <cell r="D332" t="str">
            <v>Rents-Equip</v>
          </cell>
          <cell r="E332" t="str">
            <v>642.8</v>
          </cell>
          <cell r="R332">
            <v>1629</v>
          </cell>
        </row>
        <row r="333">
          <cell r="A333" t="str">
            <v>P31</v>
          </cell>
          <cell r="B333" t="str">
            <v>Rents</v>
          </cell>
          <cell r="C333">
            <v>54140011</v>
          </cell>
          <cell r="D333" t="str">
            <v>Rents-Equip SS</v>
          </cell>
          <cell r="E333" t="str">
            <v>642.1</v>
          </cell>
          <cell r="R333">
            <v>565</v>
          </cell>
        </row>
        <row r="334">
          <cell r="A334" t="str">
            <v>P31</v>
          </cell>
          <cell r="B334" t="str">
            <v>Rents</v>
          </cell>
          <cell r="C334">
            <v>54140013</v>
          </cell>
          <cell r="D334" t="str">
            <v>Rents-Equip WT</v>
          </cell>
          <cell r="E334" t="str">
            <v>642.3</v>
          </cell>
          <cell r="R334">
            <v>5740</v>
          </cell>
        </row>
        <row r="335">
          <cell r="A335" t="str">
            <v>P31</v>
          </cell>
          <cell r="B335" t="str">
            <v>Rents</v>
          </cell>
          <cell r="C335">
            <v>54140014</v>
          </cell>
          <cell r="D335" t="str">
            <v>Rents-Equip TD</v>
          </cell>
          <cell r="E335" t="str">
            <v>642.5</v>
          </cell>
          <cell r="R335">
            <v>0</v>
          </cell>
        </row>
        <row r="336">
          <cell r="A336" t="str">
            <v>P31</v>
          </cell>
          <cell r="B336" t="str">
            <v>Rents</v>
          </cell>
          <cell r="C336">
            <v>54140016</v>
          </cell>
          <cell r="D336" t="str">
            <v>Rents-Equip AG</v>
          </cell>
          <cell r="E336" t="str">
            <v>642.8</v>
          </cell>
          <cell r="R336">
            <v>483</v>
          </cell>
        </row>
        <row r="337">
          <cell r="A337" t="str">
            <v>P31 Total</v>
          </cell>
          <cell r="B337"/>
          <cell r="C337"/>
          <cell r="D337"/>
          <cell r="E337"/>
          <cell r="R337">
            <v>22122</v>
          </cell>
        </row>
        <row r="338">
          <cell r="A338" t="str">
            <v>P32</v>
          </cell>
          <cell r="B338" t="str">
            <v>Transportation</v>
          </cell>
          <cell r="C338">
            <v>55000000</v>
          </cell>
          <cell r="D338" t="str">
            <v>Transportation (O&amp;M)</v>
          </cell>
          <cell r="E338" t="str">
            <v>650.8</v>
          </cell>
          <cell r="R338">
            <v>-2943</v>
          </cell>
        </row>
        <row r="339">
          <cell r="A339" t="str">
            <v>P32</v>
          </cell>
          <cell r="B339" t="str">
            <v>Transportation</v>
          </cell>
          <cell r="C339">
            <v>55000010</v>
          </cell>
          <cell r="D339" t="str">
            <v>Transportation</v>
          </cell>
          <cell r="E339" t="str">
            <v>650.8</v>
          </cell>
          <cell r="R339">
            <v>0</v>
          </cell>
        </row>
        <row r="340">
          <cell r="A340" t="str">
            <v>P32</v>
          </cell>
          <cell r="B340" t="str">
            <v>Transportation</v>
          </cell>
          <cell r="C340">
            <v>55000012</v>
          </cell>
          <cell r="D340" t="str">
            <v>Trans Oper P</v>
          </cell>
          <cell r="E340" t="str">
            <v>650.1</v>
          </cell>
          <cell r="R340">
            <v>0</v>
          </cell>
        </row>
        <row r="341">
          <cell r="A341" t="str">
            <v>P32</v>
          </cell>
          <cell r="B341" t="str">
            <v>Transportation</v>
          </cell>
          <cell r="C341">
            <v>55000013</v>
          </cell>
          <cell r="D341" t="str">
            <v>Trans Oper WT</v>
          </cell>
          <cell r="E341" t="str">
            <v>650.3</v>
          </cell>
          <cell r="R341">
            <v>459</v>
          </cell>
        </row>
        <row r="342">
          <cell r="A342" t="str">
            <v>P32</v>
          </cell>
          <cell r="B342" t="str">
            <v>Transportation</v>
          </cell>
          <cell r="C342">
            <v>55000014</v>
          </cell>
          <cell r="D342" t="str">
            <v>Trans Oper TD</v>
          </cell>
          <cell r="E342" t="str">
            <v>650.5</v>
          </cell>
          <cell r="R342">
            <v>0</v>
          </cell>
        </row>
        <row r="343">
          <cell r="A343" t="str">
            <v>P32</v>
          </cell>
          <cell r="B343" t="str">
            <v>Transportation</v>
          </cell>
          <cell r="C343">
            <v>55000015</v>
          </cell>
          <cell r="D343" t="str">
            <v>Trans Oper CA</v>
          </cell>
          <cell r="E343" t="str">
            <v>650.7</v>
          </cell>
          <cell r="R343">
            <v>0</v>
          </cell>
        </row>
        <row r="344">
          <cell r="A344" t="str">
            <v>P32</v>
          </cell>
          <cell r="B344" t="str">
            <v>Transportation</v>
          </cell>
          <cell r="C344">
            <v>55000016</v>
          </cell>
          <cell r="D344" t="str">
            <v>Trans Oper AG</v>
          </cell>
          <cell r="E344" t="str">
            <v>650.8</v>
          </cell>
          <cell r="R344">
            <v>7814</v>
          </cell>
        </row>
        <row r="345">
          <cell r="A345" t="str">
            <v>P32</v>
          </cell>
          <cell r="B345" t="str">
            <v>Transportation</v>
          </cell>
          <cell r="C345">
            <v>55000023</v>
          </cell>
          <cell r="D345" t="str">
            <v>Trans Maint WT</v>
          </cell>
          <cell r="E345" t="str">
            <v>650.4</v>
          </cell>
          <cell r="R345">
            <v>517</v>
          </cell>
        </row>
        <row r="346">
          <cell r="A346" t="str">
            <v>P32</v>
          </cell>
          <cell r="B346" t="str">
            <v>Transportation</v>
          </cell>
          <cell r="C346">
            <v>55000024</v>
          </cell>
          <cell r="D346" t="str">
            <v>Trans Maint TD</v>
          </cell>
          <cell r="E346" t="str">
            <v>650.6</v>
          </cell>
          <cell r="R346">
            <v>80</v>
          </cell>
        </row>
        <row r="347">
          <cell r="A347" t="str">
            <v>P32</v>
          </cell>
          <cell r="B347" t="str">
            <v>Transportation</v>
          </cell>
          <cell r="C347">
            <v>55000100</v>
          </cell>
          <cell r="D347" t="str">
            <v>Trans Cap Credits</v>
          </cell>
          <cell r="E347" t="str">
            <v>650.8</v>
          </cell>
          <cell r="R347">
            <v>-132201</v>
          </cell>
        </row>
        <row r="348">
          <cell r="A348" t="str">
            <v>P32</v>
          </cell>
          <cell r="B348" t="str">
            <v>Transportation</v>
          </cell>
          <cell r="C348">
            <v>55010100</v>
          </cell>
          <cell r="D348" t="str">
            <v>Trans Lease Costs</v>
          </cell>
          <cell r="E348" t="str">
            <v>650.8</v>
          </cell>
          <cell r="R348">
            <v>42481</v>
          </cell>
        </row>
        <row r="349">
          <cell r="A349" t="str">
            <v>P32</v>
          </cell>
          <cell r="B349" t="str">
            <v>Transportation</v>
          </cell>
          <cell r="C349">
            <v>55010200</v>
          </cell>
          <cell r="D349" t="str">
            <v>Trans Lease Fuel</v>
          </cell>
          <cell r="E349" t="str">
            <v>650.8</v>
          </cell>
          <cell r="R349">
            <v>251570</v>
          </cell>
        </row>
        <row r="350">
          <cell r="A350" t="str">
            <v>P32</v>
          </cell>
          <cell r="B350" t="str">
            <v>Transportation</v>
          </cell>
          <cell r="C350">
            <v>55010300</v>
          </cell>
          <cell r="D350" t="str">
            <v>Trans Lease Maint</v>
          </cell>
          <cell r="E350" t="str">
            <v>650.8</v>
          </cell>
          <cell r="R350">
            <v>184672</v>
          </cell>
        </row>
        <row r="351">
          <cell r="A351" t="str">
            <v>P32</v>
          </cell>
          <cell r="B351" t="str">
            <v>Transportation</v>
          </cell>
          <cell r="C351">
            <v>55010400</v>
          </cell>
          <cell r="D351" t="str">
            <v>Trans Emp Reimb Co</v>
          </cell>
          <cell r="E351" t="str">
            <v>650.8</v>
          </cell>
          <cell r="R351">
            <v>0</v>
          </cell>
        </row>
        <row r="352">
          <cell r="A352" t="str">
            <v>P32</v>
          </cell>
          <cell r="B352" t="str">
            <v>Transportation</v>
          </cell>
          <cell r="C352">
            <v>55010500</v>
          </cell>
          <cell r="D352" t="str">
            <v>Trans Reimb EE Prsnl</v>
          </cell>
          <cell r="E352" t="str">
            <v>650.8</v>
          </cell>
          <cell r="R352">
            <v>21145</v>
          </cell>
        </row>
        <row r="353">
          <cell r="A353" t="str">
            <v>P32 Total</v>
          </cell>
          <cell r="B353"/>
          <cell r="C353"/>
          <cell r="D353"/>
          <cell r="E353"/>
          <cell r="R353">
            <v>373594</v>
          </cell>
        </row>
        <row r="354">
          <cell r="A354" t="str">
            <v>P33</v>
          </cell>
          <cell r="B354" t="str">
            <v>Uncollectible accounts expense</v>
          </cell>
          <cell r="C354">
            <v>57010000</v>
          </cell>
          <cell r="D354" t="str">
            <v>Uncoll Accts Exp</v>
          </cell>
          <cell r="E354" t="str">
            <v>670.7</v>
          </cell>
          <cell r="R354">
            <v>0</v>
          </cell>
        </row>
        <row r="355">
          <cell r="A355" t="str">
            <v>P33</v>
          </cell>
          <cell r="B355" t="str">
            <v>Uncollectible accounts expense</v>
          </cell>
          <cell r="C355">
            <v>57010015</v>
          </cell>
          <cell r="D355" t="str">
            <v>Uncoll Accts Exp CA</v>
          </cell>
          <cell r="E355" t="str">
            <v>670.7</v>
          </cell>
          <cell r="R355">
            <v>809767.83800327987</v>
          </cell>
        </row>
        <row r="356">
          <cell r="A356" t="str">
            <v>P33</v>
          </cell>
          <cell r="B356" t="str">
            <v>Uncollectible accounts expense</v>
          </cell>
          <cell r="C356">
            <v>57010016</v>
          </cell>
          <cell r="D356" t="str">
            <v>Uncoll Accts Exp AG</v>
          </cell>
          <cell r="E356" t="str">
            <v>670.7</v>
          </cell>
          <cell r="R356">
            <v>49371</v>
          </cell>
        </row>
        <row r="357">
          <cell r="A357" t="str">
            <v>P33 Total</v>
          </cell>
          <cell r="B357"/>
          <cell r="C357"/>
          <cell r="D357"/>
          <cell r="E357"/>
          <cell r="R357">
            <v>859138.83800327987</v>
          </cell>
        </row>
        <row r="358">
          <cell r="A358" t="str">
            <v>P34</v>
          </cell>
          <cell r="B358" t="str">
            <v>Customer accounting, other</v>
          </cell>
          <cell r="C358">
            <v>52501500</v>
          </cell>
          <cell r="D358" t="str">
            <v>Misc Oper CA</v>
          </cell>
          <cell r="E358" t="str">
            <v>675.7</v>
          </cell>
          <cell r="R358">
            <v>1424</v>
          </cell>
        </row>
        <row r="359">
          <cell r="A359" t="str">
            <v>P34</v>
          </cell>
          <cell r="B359" t="str">
            <v>Customer accounting, other</v>
          </cell>
          <cell r="C359">
            <v>52510015</v>
          </cell>
          <cell r="D359" t="str">
            <v>Bank Svc Charges-CA</v>
          </cell>
          <cell r="E359" t="str">
            <v>675.7</v>
          </cell>
          <cell r="R359">
            <v>140647</v>
          </cell>
        </row>
        <row r="360">
          <cell r="A360" t="str">
            <v>P34</v>
          </cell>
          <cell r="B360" t="str">
            <v>Customer accounting, other</v>
          </cell>
          <cell r="C360">
            <v>52514906</v>
          </cell>
          <cell r="D360" t="str">
            <v>Cust Edu-Bill Insert</v>
          </cell>
          <cell r="E360" t="str">
            <v>675.8</v>
          </cell>
          <cell r="R360">
            <v>10004</v>
          </cell>
        </row>
        <row r="361">
          <cell r="A361" t="str">
            <v>P34</v>
          </cell>
          <cell r="B361" t="str">
            <v>Customer accounting, other</v>
          </cell>
          <cell r="C361">
            <v>52520000</v>
          </cell>
          <cell r="D361" t="str">
            <v>Collection Agencies</v>
          </cell>
          <cell r="E361" t="str">
            <v>675.7</v>
          </cell>
          <cell r="R361">
            <v>303523</v>
          </cell>
        </row>
        <row r="362">
          <cell r="A362" t="str">
            <v>P34</v>
          </cell>
          <cell r="B362" t="str">
            <v>Customer accounting, other</v>
          </cell>
          <cell r="C362">
            <v>52542015</v>
          </cell>
          <cell r="D362" t="str">
            <v>Forms CA</v>
          </cell>
          <cell r="E362" t="str">
            <v>675.7</v>
          </cell>
          <cell r="R362">
            <v>135893</v>
          </cell>
        </row>
        <row r="363">
          <cell r="A363" t="str">
            <v>P34</v>
          </cell>
          <cell r="B363" t="str">
            <v>Customer accounting, other</v>
          </cell>
          <cell r="C363">
            <v>52566015</v>
          </cell>
          <cell r="D363" t="str">
            <v>Postage CA</v>
          </cell>
          <cell r="E363" t="str">
            <v>675.7</v>
          </cell>
          <cell r="R363">
            <v>570456</v>
          </cell>
        </row>
        <row r="364">
          <cell r="A364" t="str">
            <v>P34 Total</v>
          </cell>
          <cell r="B364"/>
          <cell r="C364"/>
          <cell r="D364"/>
          <cell r="E364"/>
          <cell r="R364">
            <v>1161947</v>
          </cell>
        </row>
        <row r="365">
          <cell r="A365" t="str">
            <v>P35</v>
          </cell>
          <cell r="B365" t="str">
            <v>Regulatory expense</v>
          </cell>
          <cell r="C365">
            <v>56610000</v>
          </cell>
          <cell r="D365" t="str">
            <v>Reg Exp-Amort</v>
          </cell>
          <cell r="E365" t="str">
            <v>666.8</v>
          </cell>
          <cell r="R365">
            <v>289720</v>
          </cell>
        </row>
        <row r="366">
          <cell r="A366" t="str">
            <v>P35</v>
          </cell>
          <cell r="B366" t="str">
            <v>Regulatory expense</v>
          </cell>
          <cell r="C366">
            <v>56611000</v>
          </cell>
          <cell r="D366" t="str">
            <v>Reg Exp-Not Auth</v>
          </cell>
          <cell r="E366" t="str">
            <v>666.8</v>
          </cell>
          <cell r="R366">
            <v>0</v>
          </cell>
        </row>
        <row r="367">
          <cell r="A367" t="str">
            <v>P35</v>
          </cell>
          <cell r="B367" t="str">
            <v>Regulatory expense</v>
          </cell>
          <cell r="C367">
            <v>56620000</v>
          </cell>
          <cell r="D367" t="str">
            <v>Reg Exp-Depr Stdy</v>
          </cell>
          <cell r="E367" t="str">
            <v>667.8</v>
          </cell>
          <cell r="R367">
            <v>0</v>
          </cell>
        </row>
        <row r="368">
          <cell r="A368" t="str">
            <v>P35</v>
          </cell>
          <cell r="B368" t="str">
            <v>Regulatory expense</v>
          </cell>
          <cell r="C368">
            <v>56670000</v>
          </cell>
          <cell r="D368" t="str">
            <v>Reg Exp-Other</v>
          </cell>
          <cell r="E368">
            <v>667.8</v>
          </cell>
          <cell r="R368">
            <v>0</v>
          </cell>
        </row>
        <row r="369">
          <cell r="A369" t="str">
            <v>P35 Total</v>
          </cell>
          <cell r="B369"/>
          <cell r="C369"/>
          <cell r="D369"/>
          <cell r="E369"/>
          <cell r="R369">
            <v>289720</v>
          </cell>
        </row>
        <row r="370">
          <cell r="A370" t="str">
            <v>P36</v>
          </cell>
          <cell r="B370" t="str">
            <v>Insurance other than group</v>
          </cell>
          <cell r="C370">
            <v>55110000</v>
          </cell>
          <cell r="D370" t="str">
            <v>Ins Vehicle</v>
          </cell>
          <cell r="E370" t="str">
            <v>656.8</v>
          </cell>
          <cell r="R370">
            <v>29358</v>
          </cell>
        </row>
        <row r="371">
          <cell r="A371" t="str">
            <v>P36</v>
          </cell>
          <cell r="B371" t="str">
            <v>Insurance other than group</v>
          </cell>
          <cell r="C371">
            <v>55115000</v>
          </cell>
          <cell r="D371" t="str">
            <v>Ins Vehicle - I/C</v>
          </cell>
          <cell r="E371" t="str">
            <v>656.8</v>
          </cell>
          <cell r="R371">
            <v>0</v>
          </cell>
        </row>
        <row r="372">
          <cell r="A372" t="str">
            <v>P36</v>
          </cell>
          <cell r="B372" t="str">
            <v>Insurance other than group</v>
          </cell>
          <cell r="C372">
            <v>55710000</v>
          </cell>
          <cell r="D372" t="str">
            <v>Ins General Liabilty</v>
          </cell>
          <cell r="E372" t="str">
            <v>657.8</v>
          </cell>
          <cell r="R372">
            <v>427078</v>
          </cell>
        </row>
        <row r="373">
          <cell r="A373" t="str">
            <v>P36</v>
          </cell>
          <cell r="B373" t="str">
            <v>Insurance other than group</v>
          </cell>
          <cell r="C373">
            <v>55715000</v>
          </cell>
          <cell r="D373" t="str">
            <v>Ins General Liab-I/C</v>
          </cell>
          <cell r="E373" t="str">
            <v>657.8</v>
          </cell>
          <cell r="R373">
            <v>0</v>
          </cell>
        </row>
        <row r="374">
          <cell r="A374" t="str">
            <v>P36</v>
          </cell>
          <cell r="B374" t="str">
            <v>Insurance other than group</v>
          </cell>
          <cell r="C374">
            <v>55720000</v>
          </cell>
          <cell r="D374" t="str">
            <v>Ins Work Comp</v>
          </cell>
          <cell r="E374" t="str">
            <v>658.8</v>
          </cell>
          <cell r="R374">
            <v>105428</v>
          </cell>
        </row>
        <row r="375">
          <cell r="A375" t="str">
            <v>P36</v>
          </cell>
          <cell r="B375" t="str">
            <v>Insurance other than group</v>
          </cell>
          <cell r="C375">
            <v>55720100</v>
          </cell>
          <cell r="D375" t="str">
            <v>Ins W/C Cap Credits</v>
          </cell>
          <cell r="E375" t="str">
            <v>658.8</v>
          </cell>
          <cell r="R375">
            <v>-45629</v>
          </cell>
        </row>
        <row r="376">
          <cell r="A376" t="str">
            <v>P36</v>
          </cell>
          <cell r="B376" t="str">
            <v>Insurance other than group</v>
          </cell>
          <cell r="C376">
            <v>55725000</v>
          </cell>
          <cell r="D376" t="str">
            <v>Ins Work Comp-I/C</v>
          </cell>
          <cell r="E376" t="str">
            <v>658.8</v>
          </cell>
          <cell r="R376">
            <v>0</v>
          </cell>
        </row>
        <row r="377">
          <cell r="A377" t="str">
            <v>P36</v>
          </cell>
          <cell r="B377" t="str">
            <v>Insurance other than group</v>
          </cell>
          <cell r="C377">
            <v>55730000</v>
          </cell>
          <cell r="D377" t="str">
            <v>Ins Other</v>
          </cell>
          <cell r="E377" t="str">
            <v>659.8</v>
          </cell>
          <cell r="R377">
            <v>112354</v>
          </cell>
        </row>
        <row r="378">
          <cell r="A378" t="str">
            <v>P36</v>
          </cell>
          <cell r="B378" t="str">
            <v>Insurance other than group</v>
          </cell>
          <cell r="C378">
            <v>55735000</v>
          </cell>
          <cell r="D378" t="str">
            <v>Ins Other - I/C</v>
          </cell>
          <cell r="E378" t="str">
            <v>659.8</v>
          </cell>
          <cell r="R378">
            <v>0</v>
          </cell>
        </row>
        <row r="379">
          <cell r="A379" t="str">
            <v>P36</v>
          </cell>
          <cell r="B379" t="str">
            <v>Insurance other than group</v>
          </cell>
          <cell r="C379">
            <v>55740000</v>
          </cell>
          <cell r="D379" t="str">
            <v>Ins Property</v>
          </cell>
          <cell r="E379" t="str">
            <v>659.8</v>
          </cell>
          <cell r="R379">
            <v>57480</v>
          </cell>
        </row>
        <row r="380">
          <cell r="A380" t="str">
            <v>P36 Total</v>
          </cell>
          <cell r="B380"/>
          <cell r="C380"/>
          <cell r="D380"/>
          <cell r="E380"/>
          <cell r="R380">
            <v>686069</v>
          </cell>
        </row>
        <row r="381">
          <cell r="A381" t="str">
            <v>P37</v>
          </cell>
          <cell r="B381" t="str">
            <v>Maintenance supplies and services</v>
          </cell>
          <cell r="C381">
            <v>62002100</v>
          </cell>
          <cell r="D381" t="str">
            <v>M&amp;S Maint SS</v>
          </cell>
          <cell r="E381" t="str">
            <v>620.2</v>
          </cell>
          <cell r="R381">
            <v>11559</v>
          </cell>
        </row>
        <row r="382">
          <cell r="A382" t="str">
            <v>P37</v>
          </cell>
          <cell r="B382" t="str">
            <v>Maintenance supplies and services</v>
          </cell>
          <cell r="C382">
            <v>62002300</v>
          </cell>
          <cell r="D382" t="str">
            <v>M&amp;S Maint WT</v>
          </cell>
          <cell r="E382" t="str">
            <v>620.4</v>
          </cell>
          <cell r="R382">
            <v>120941</v>
          </cell>
        </row>
        <row r="383">
          <cell r="A383" t="str">
            <v>P37</v>
          </cell>
          <cell r="B383" t="str">
            <v>Maintenance supplies and services</v>
          </cell>
          <cell r="C383">
            <v>62002400</v>
          </cell>
          <cell r="D383" t="str">
            <v>M&amp;S Maint TD</v>
          </cell>
          <cell r="E383" t="str">
            <v>620.6</v>
          </cell>
          <cell r="R383">
            <v>172000</v>
          </cell>
        </row>
        <row r="384">
          <cell r="A384" t="str">
            <v>P37</v>
          </cell>
          <cell r="B384" t="str">
            <v>Maintenance supplies and services</v>
          </cell>
          <cell r="C384">
            <v>62002600</v>
          </cell>
          <cell r="D384" t="str">
            <v>M&amp;S Maint AG</v>
          </cell>
          <cell r="E384" t="str">
            <v>620.8</v>
          </cell>
          <cell r="R384">
            <v>0</v>
          </cell>
        </row>
        <row r="385">
          <cell r="A385" t="str">
            <v>P37</v>
          </cell>
          <cell r="B385" t="str">
            <v>Maintenance supplies and services</v>
          </cell>
          <cell r="C385">
            <v>62502100</v>
          </cell>
          <cell r="D385" t="str">
            <v>Misc Maint SS</v>
          </cell>
          <cell r="E385" t="str">
            <v>675.2</v>
          </cell>
          <cell r="R385">
            <v>4425</v>
          </cell>
        </row>
        <row r="386">
          <cell r="A386" t="str">
            <v>P37</v>
          </cell>
          <cell r="B386" t="str">
            <v>Maintenance supplies and services</v>
          </cell>
          <cell r="C386">
            <v>62502300</v>
          </cell>
          <cell r="D386" t="str">
            <v>Misc Maint WT</v>
          </cell>
          <cell r="E386" t="str">
            <v>675.4</v>
          </cell>
          <cell r="R386">
            <v>77124</v>
          </cell>
        </row>
        <row r="387">
          <cell r="A387" t="str">
            <v>P37</v>
          </cell>
          <cell r="B387" t="str">
            <v>Maintenance supplies and services</v>
          </cell>
          <cell r="C387">
            <v>62502400</v>
          </cell>
          <cell r="D387" t="str">
            <v>Misc Maint TD</v>
          </cell>
          <cell r="E387" t="str">
            <v>675.6</v>
          </cell>
          <cell r="R387">
            <v>93955</v>
          </cell>
        </row>
        <row r="388">
          <cell r="A388" t="str">
            <v>P37</v>
          </cell>
          <cell r="B388" t="str">
            <v>Maintenance supplies and services</v>
          </cell>
          <cell r="C388">
            <v>62502420</v>
          </cell>
          <cell r="D388" t="str">
            <v>Misc Maint TD Mains</v>
          </cell>
          <cell r="E388" t="str">
            <v>675.6</v>
          </cell>
          <cell r="R388">
            <v>0</v>
          </cell>
        </row>
        <row r="389">
          <cell r="A389" t="str">
            <v>P37</v>
          </cell>
          <cell r="B389" t="str">
            <v>Maintenance supplies and services</v>
          </cell>
          <cell r="C389">
            <v>62502435</v>
          </cell>
          <cell r="D389" t="str">
            <v>Misc Maint TD Meters</v>
          </cell>
          <cell r="E389" t="str">
            <v>675.6</v>
          </cell>
          <cell r="R389">
            <v>0</v>
          </cell>
        </row>
        <row r="390">
          <cell r="A390" t="str">
            <v>P37</v>
          </cell>
          <cell r="B390" t="str">
            <v>Maintenance supplies and services</v>
          </cell>
          <cell r="C390">
            <v>62502600</v>
          </cell>
          <cell r="D390" t="str">
            <v>Misc Maint AG</v>
          </cell>
          <cell r="E390" t="str">
            <v>675.8</v>
          </cell>
          <cell r="R390">
            <v>358100</v>
          </cell>
        </row>
        <row r="391">
          <cell r="A391" t="str">
            <v>P37</v>
          </cell>
          <cell r="B391" t="str">
            <v>Maintenance supplies and services</v>
          </cell>
          <cell r="C391">
            <v>62510000</v>
          </cell>
          <cell r="D391" t="str">
            <v>Amort Def Maint</v>
          </cell>
          <cell r="E391" t="str">
            <v>675.6</v>
          </cell>
          <cell r="R391">
            <v>0</v>
          </cell>
        </row>
        <row r="392">
          <cell r="A392" t="str">
            <v>P37</v>
          </cell>
          <cell r="B392" t="str">
            <v>Maintenance supplies and services</v>
          </cell>
          <cell r="C392">
            <v>62512000</v>
          </cell>
          <cell r="D392" t="str">
            <v>Amort Def Maint</v>
          </cell>
          <cell r="E392" t="str">
            <v>675.6</v>
          </cell>
          <cell r="R392">
            <v>389394</v>
          </cell>
        </row>
        <row r="393">
          <cell r="A393" t="str">
            <v>P37</v>
          </cell>
          <cell r="B393" t="str">
            <v>Maintenance supplies and services</v>
          </cell>
          <cell r="C393">
            <v>62512300</v>
          </cell>
          <cell r="D393" t="str">
            <v>Amort Def Maint WT</v>
          </cell>
          <cell r="E393" t="str">
            <v>675.4</v>
          </cell>
          <cell r="R393">
            <v>122004</v>
          </cell>
        </row>
        <row r="394">
          <cell r="A394" t="str">
            <v>P37</v>
          </cell>
          <cell r="B394" t="str">
            <v>Maintenance supplies and services</v>
          </cell>
          <cell r="C394">
            <v>62512400</v>
          </cell>
          <cell r="D394" t="str">
            <v>Amort Def Maint TD</v>
          </cell>
          <cell r="E394" t="str">
            <v>675.6</v>
          </cell>
          <cell r="R394">
            <v>327830</v>
          </cell>
        </row>
        <row r="395">
          <cell r="A395" t="str">
            <v>P37</v>
          </cell>
          <cell r="B395" t="str">
            <v>Maintenance supplies and services</v>
          </cell>
          <cell r="C395">
            <v>62520700</v>
          </cell>
          <cell r="D395" t="str">
            <v>Misc Main Pvg/Bckfll</v>
          </cell>
          <cell r="E395" t="str">
            <v>675.6</v>
          </cell>
          <cell r="R395">
            <v>15417</v>
          </cell>
        </row>
        <row r="396">
          <cell r="A396" t="str">
            <v>P37</v>
          </cell>
          <cell r="B396" t="str">
            <v>Maintenance supplies and services</v>
          </cell>
          <cell r="C396">
            <v>62520800</v>
          </cell>
          <cell r="D396" t="str">
            <v>Misc Maint Permits</v>
          </cell>
          <cell r="E396" t="str">
            <v>675.6</v>
          </cell>
          <cell r="R396">
            <v>0</v>
          </cell>
        </row>
        <row r="397">
          <cell r="A397" t="str">
            <v>P37</v>
          </cell>
          <cell r="B397" t="str">
            <v>Maintenance supplies and services</v>
          </cell>
          <cell r="C397">
            <v>63110000</v>
          </cell>
          <cell r="D397" t="str">
            <v>Contract Svc - Other Maint</v>
          </cell>
          <cell r="E397" t="str">
            <v>631.6</v>
          </cell>
          <cell r="R397">
            <v>142571</v>
          </cell>
        </row>
        <row r="398">
          <cell r="A398" t="str">
            <v>P37</v>
          </cell>
          <cell r="B398" t="str">
            <v>Maintenance supplies and services</v>
          </cell>
          <cell r="C398">
            <v>63110024</v>
          </cell>
          <cell r="D398" t="str">
            <v>Contr Svc-Maint TD</v>
          </cell>
          <cell r="E398" t="str">
            <v>631.6</v>
          </cell>
          <cell r="R398">
            <v>0</v>
          </cell>
        </row>
        <row r="399">
          <cell r="A399" t="str">
            <v>P37</v>
          </cell>
          <cell r="B399" t="str">
            <v>Maintenance supplies and services</v>
          </cell>
          <cell r="C399">
            <v>63150021</v>
          </cell>
          <cell r="D399" t="str">
            <v>Contr Svc-Maint SS</v>
          </cell>
          <cell r="E399" t="str">
            <v>636.2</v>
          </cell>
          <cell r="R399">
            <v>22726</v>
          </cell>
        </row>
        <row r="400">
          <cell r="A400" t="str">
            <v>P37</v>
          </cell>
          <cell r="B400" t="str">
            <v>Maintenance supplies and services</v>
          </cell>
          <cell r="C400">
            <v>63150022</v>
          </cell>
          <cell r="D400" t="str">
            <v>Contr Svc-Maint P</v>
          </cell>
          <cell r="E400" t="str">
            <v>636.3</v>
          </cell>
          <cell r="R400">
            <v>0</v>
          </cell>
        </row>
        <row r="401">
          <cell r="A401" t="str">
            <v>P37</v>
          </cell>
          <cell r="B401" t="str">
            <v>Maintenance supplies and services</v>
          </cell>
          <cell r="C401">
            <v>63150023</v>
          </cell>
          <cell r="D401" t="str">
            <v>Contr Svc-Maint WT</v>
          </cell>
          <cell r="E401" t="str">
            <v>636.4</v>
          </cell>
          <cell r="R401">
            <v>36773</v>
          </cell>
        </row>
        <row r="402">
          <cell r="A402" t="str">
            <v>P37</v>
          </cell>
          <cell r="B402" t="str">
            <v>Maintenance supplies and services</v>
          </cell>
          <cell r="C402">
            <v>63150024</v>
          </cell>
          <cell r="D402" t="str">
            <v>Contr Svc-Maint TD</v>
          </cell>
          <cell r="E402" t="str">
            <v>636.6</v>
          </cell>
          <cell r="R402">
            <v>39355</v>
          </cell>
        </row>
        <row r="403">
          <cell r="A403" t="str">
            <v>P37</v>
          </cell>
          <cell r="B403" t="str">
            <v>Maintenance supplies and services</v>
          </cell>
          <cell r="C403">
            <v>63150026</v>
          </cell>
          <cell r="D403" t="str">
            <v>Contr Svc-Maint AG</v>
          </cell>
          <cell r="E403" t="str">
            <v>636.8</v>
          </cell>
          <cell r="R403">
            <v>29871</v>
          </cell>
        </row>
        <row r="404">
          <cell r="A404" t="str">
            <v>P37 Total</v>
          </cell>
          <cell r="B404"/>
          <cell r="C404"/>
          <cell r="D404"/>
          <cell r="E404"/>
          <cell r="R404">
            <v>1964045</v>
          </cell>
        </row>
        <row r="405">
          <cell r="A405" t="str">
            <v>P38</v>
          </cell>
          <cell r="B405" t="str">
            <v>Balance sheet pass thru accounts</v>
          </cell>
          <cell r="C405">
            <v>52801200</v>
          </cell>
          <cell r="D405" t="str">
            <v>Capital Accrual Clrg</v>
          </cell>
          <cell r="E405" t="str">
            <v>675.8</v>
          </cell>
          <cell r="R405">
            <v>0</v>
          </cell>
        </row>
        <row r="406">
          <cell r="A406" t="str">
            <v>P38 Total</v>
          </cell>
          <cell r="B406"/>
          <cell r="C406"/>
          <cell r="D406"/>
          <cell r="E406"/>
          <cell r="R406">
            <v>0</v>
          </cell>
        </row>
        <row r="407">
          <cell r="A407" t="str">
            <v>P39</v>
          </cell>
          <cell r="B407" t="str">
            <v>Capital movements</v>
          </cell>
          <cell r="C407">
            <v>88101000</v>
          </cell>
          <cell r="D407" t="str">
            <v>CAP Move-UP</v>
          </cell>
          <cell r="E407" t="str">
            <v>675.8</v>
          </cell>
          <cell r="R407">
            <v>12889419</v>
          </cell>
        </row>
        <row r="408">
          <cell r="A408" t="str">
            <v>P39</v>
          </cell>
          <cell r="B408" t="str">
            <v>Capital movements</v>
          </cell>
          <cell r="C408">
            <v>88106000</v>
          </cell>
          <cell r="D408" t="str">
            <v>CAP Move-CCNC</v>
          </cell>
          <cell r="E408" t="str">
            <v>675.8</v>
          </cell>
          <cell r="R408">
            <v>2905781</v>
          </cell>
        </row>
        <row r="409">
          <cell r="A409" t="str">
            <v>P39</v>
          </cell>
          <cell r="B409" t="str">
            <v>Capital movements</v>
          </cell>
          <cell r="C409">
            <v>88107000</v>
          </cell>
          <cell r="D409" t="str">
            <v>CAP Move-CWIP</v>
          </cell>
          <cell r="E409" t="str">
            <v>675.8</v>
          </cell>
          <cell r="R409">
            <v>1456579</v>
          </cell>
        </row>
        <row r="410">
          <cell r="A410" t="str">
            <v>P39</v>
          </cell>
          <cell r="B410" t="str">
            <v>Capital movements</v>
          </cell>
          <cell r="C410">
            <v>88108020</v>
          </cell>
          <cell r="D410" t="str">
            <v>CAP Move-UP A/D Salv</v>
          </cell>
          <cell r="E410" t="str">
            <v>675.8</v>
          </cell>
          <cell r="R410">
            <v>-194586</v>
          </cell>
        </row>
        <row r="411">
          <cell r="A411" t="str">
            <v>P39</v>
          </cell>
          <cell r="B411" t="str">
            <v>Capital movements</v>
          </cell>
          <cell r="C411">
            <v>88252100</v>
          </cell>
          <cell r="D411" t="str">
            <v>CAP Move-ADV NT</v>
          </cell>
          <cell r="E411" t="str">
            <v>675.8</v>
          </cell>
          <cell r="R411">
            <v>712822</v>
          </cell>
        </row>
        <row r="412">
          <cell r="A412" t="str">
            <v>P39</v>
          </cell>
          <cell r="B412" t="str">
            <v>Capital movements</v>
          </cell>
          <cell r="C412">
            <v>88252170</v>
          </cell>
          <cell r="D412" t="str">
            <v>CAP Move-ADV NT WIP</v>
          </cell>
          <cell r="E412" t="str">
            <v>675.8</v>
          </cell>
          <cell r="R412">
            <v>-55333</v>
          </cell>
        </row>
        <row r="413">
          <cell r="A413" t="str">
            <v>P39</v>
          </cell>
          <cell r="B413" t="str">
            <v>Capital movements</v>
          </cell>
          <cell r="C413">
            <v>88252270</v>
          </cell>
          <cell r="D413" t="str">
            <v>CAP Move-ADV Tax WIP</v>
          </cell>
          <cell r="E413" t="str">
            <v>675.8</v>
          </cell>
          <cell r="R413">
            <v>-404971</v>
          </cell>
        </row>
        <row r="414">
          <cell r="A414" t="str">
            <v>P39</v>
          </cell>
          <cell r="B414" t="str">
            <v>Capital movements</v>
          </cell>
          <cell r="C414">
            <v>88257000</v>
          </cell>
          <cell r="D414" t="str">
            <v>CAP Move-COR</v>
          </cell>
          <cell r="E414" t="str">
            <v>675.8</v>
          </cell>
          <cell r="R414">
            <v>843844</v>
          </cell>
        </row>
        <row r="415">
          <cell r="A415" t="str">
            <v>P39</v>
          </cell>
          <cell r="B415" t="str">
            <v>Capital movements</v>
          </cell>
          <cell r="C415">
            <v>88257100</v>
          </cell>
          <cell r="D415" t="str">
            <v>CAP Move-RWIP</v>
          </cell>
          <cell r="E415" t="str">
            <v>675.8</v>
          </cell>
          <cell r="R415">
            <v>690089</v>
          </cell>
        </row>
        <row r="416">
          <cell r="A416" t="str">
            <v>P39</v>
          </cell>
          <cell r="B416" t="str">
            <v>Capital movements</v>
          </cell>
          <cell r="C416">
            <v>88271100</v>
          </cell>
          <cell r="D416" t="str">
            <v>CAP Move-CIAC NT</v>
          </cell>
          <cell r="E416" t="str">
            <v>675.8</v>
          </cell>
          <cell r="R416">
            <v>-972459</v>
          </cell>
        </row>
        <row r="417">
          <cell r="A417" t="str">
            <v>P39</v>
          </cell>
          <cell r="B417" t="str">
            <v>Capital movements</v>
          </cell>
          <cell r="C417">
            <v>88271170</v>
          </cell>
          <cell r="D417" t="str">
            <v>CAP Move-CIAC NT WIP</v>
          </cell>
          <cell r="E417" t="str">
            <v>675.8</v>
          </cell>
          <cell r="R417">
            <v>2085258</v>
          </cell>
        </row>
        <row r="418">
          <cell r="A418" t="str">
            <v>P39</v>
          </cell>
          <cell r="B418" t="str">
            <v>Capital movements</v>
          </cell>
          <cell r="C418">
            <v>88271200</v>
          </cell>
          <cell r="D418" t="str">
            <v>CAP Move-CIAC Tax</v>
          </cell>
          <cell r="E418" t="str">
            <v>675.8</v>
          </cell>
          <cell r="R418">
            <v>-1954571</v>
          </cell>
        </row>
        <row r="419">
          <cell r="A419" t="str">
            <v>P39</v>
          </cell>
          <cell r="B419" t="str">
            <v>Capital movements</v>
          </cell>
          <cell r="C419">
            <v>88271270</v>
          </cell>
          <cell r="D419" t="str">
            <v>CAP Move-CIAC Tx WIP</v>
          </cell>
          <cell r="E419" t="str">
            <v>675.8</v>
          </cell>
          <cell r="R419">
            <v>-710057</v>
          </cell>
        </row>
        <row r="420">
          <cell r="A420" t="str">
            <v>P39</v>
          </cell>
          <cell r="B420" t="str">
            <v>Capital movements</v>
          </cell>
          <cell r="C420">
            <v>88900000</v>
          </cell>
          <cell r="D420" t="str">
            <v>CAP Move-Settlement</v>
          </cell>
          <cell r="E420" t="str">
            <v>675.8</v>
          </cell>
          <cell r="R420">
            <v>-17291815</v>
          </cell>
        </row>
        <row r="421">
          <cell r="A421" t="str">
            <v>P39 Total</v>
          </cell>
          <cell r="B421"/>
          <cell r="C421"/>
          <cell r="D421"/>
          <cell r="E421"/>
          <cell r="R421">
            <v>0</v>
          </cell>
        </row>
        <row r="422">
          <cell r="A422" t="str">
            <v>P40</v>
          </cell>
          <cell r="B422" t="str">
            <v>Depreciation</v>
          </cell>
          <cell r="C422">
            <v>68011000</v>
          </cell>
          <cell r="D422" t="str">
            <v>Depr -UPIS General</v>
          </cell>
          <cell r="E422" t="str">
            <v>403.</v>
          </cell>
          <cell r="F422">
            <v>1278369</v>
          </cell>
          <cell r="G422">
            <v>1278693</v>
          </cell>
          <cell r="H422">
            <v>1284030</v>
          </cell>
          <cell r="I422">
            <v>1290180</v>
          </cell>
          <cell r="J422">
            <v>1291316</v>
          </cell>
          <cell r="K422">
            <v>1310123</v>
          </cell>
          <cell r="R422">
            <v>15662466</v>
          </cell>
        </row>
        <row r="423">
          <cell r="A423" t="str">
            <v>P40</v>
          </cell>
          <cell r="B423" t="str">
            <v>Depreciation</v>
          </cell>
          <cell r="C423">
            <v>68011500</v>
          </cell>
          <cell r="D423" t="str">
            <v>Depr -Amort Def Depreciation</v>
          </cell>
          <cell r="E423" t="str">
            <v>403.</v>
          </cell>
          <cell r="R423">
            <v>0</v>
          </cell>
        </row>
        <row r="424">
          <cell r="A424" t="str">
            <v>P40</v>
          </cell>
          <cell r="B424" t="str">
            <v>Depreciation</v>
          </cell>
          <cell r="C424">
            <v>68012000</v>
          </cell>
          <cell r="D424" t="str">
            <v>Depr -Amort CIAC Tx</v>
          </cell>
          <cell r="E424" t="str">
            <v>403.</v>
          </cell>
          <cell r="R424">
            <v>-272911</v>
          </cell>
        </row>
        <row r="425">
          <cell r="A425" t="str">
            <v>P40</v>
          </cell>
          <cell r="B425" t="str">
            <v>Depreciation</v>
          </cell>
          <cell r="C425">
            <v>68012500</v>
          </cell>
          <cell r="D425" t="str">
            <v>Depr-Amort CIAC Nntx</v>
          </cell>
          <cell r="E425" t="str">
            <v>403.</v>
          </cell>
          <cell r="R425">
            <v>-1395137</v>
          </cell>
        </row>
        <row r="426">
          <cell r="A426" t="str">
            <v>P40 Total</v>
          </cell>
          <cell r="B426"/>
          <cell r="C426"/>
          <cell r="D426"/>
          <cell r="E426"/>
          <cell r="R426">
            <v>13994418</v>
          </cell>
        </row>
        <row r="427">
          <cell r="A427" t="str">
            <v>P41</v>
          </cell>
          <cell r="B427" t="str">
            <v>Amortization</v>
          </cell>
          <cell r="C427">
            <v>68254000</v>
          </cell>
          <cell r="D427" t="str">
            <v>Amort-RegAsset AFUDC</v>
          </cell>
          <cell r="E427" t="str">
            <v>407.1</v>
          </cell>
          <cell r="R427">
            <v>203936</v>
          </cell>
        </row>
        <row r="428">
          <cell r="A428" t="str">
            <v>P41</v>
          </cell>
          <cell r="B428" t="str">
            <v>Amortization</v>
          </cell>
          <cell r="C428">
            <v>68255000</v>
          </cell>
          <cell r="D428" t="str">
            <v>Amort-UPAA</v>
          </cell>
          <cell r="E428" t="str">
            <v>406.</v>
          </cell>
          <cell r="R428">
            <v>8556</v>
          </cell>
        </row>
        <row r="429">
          <cell r="A429" t="str">
            <v>P41</v>
          </cell>
          <cell r="B429" t="str">
            <v>Amortization</v>
          </cell>
          <cell r="C429">
            <v>68257000</v>
          </cell>
          <cell r="D429" t="str">
            <v>Amort-Prop Losses</v>
          </cell>
          <cell r="E429" t="str">
            <v>407.2</v>
          </cell>
          <cell r="R429">
            <v>57084</v>
          </cell>
        </row>
        <row r="430">
          <cell r="A430" t="str">
            <v>P41</v>
          </cell>
          <cell r="B430" t="str">
            <v>Amortization</v>
          </cell>
          <cell r="C430">
            <v>68258000</v>
          </cell>
          <cell r="D430" t="str">
            <v>Amort-Reg Asset</v>
          </cell>
          <cell r="E430" t="str">
            <v>407.4</v>
          </cell>
          <cell r="R430">
            <v>6900</v>
          </cell>
        </row>
        <row r="431">
          <cell r="A431" t="str">
            <v>P41 Total</v>
          </cell>
          <cell r="B431"/>
          <cell r="C431"/>
          <cell r="D431"/>
          <cell r="E431"/>
          <cell r="R431">
            <v>276476</v>
          </cell>
        </row>
        <row r="432">
          <cell r="A432" t="str">
            <v>P42</v>
          </cell>
          <cell r="B432" t="str">
            <v>Removal costs, net</v>
          </cell>
          <cell r="C432">
            <v>68311000</v>
          </cell>
          <cell r="D432" t="str">
            <v>Rem Costs-ARO/NNS</v>
          </cell>
          <cell r="E432" t="str">
            <v>403.</v>
          </cell>
          <cell r="R432">
            <v>2841122</v>
          </cell>
        </row>
        <row r="433">
          <cell r="A433" t="str">
            <v>P42</v>
          </cell>
          <cell r="B433" t="str">
            <v>Removal costs, net</v>
          </cell>
          <cell r="C433">
            <v>68312000</v>
          </cell>
          <cell r="D433" t="str">
            <v>Rmv Csts-NNS CIAC Tx</v>
          </cell>
          <cell r="E433" t="str">
            <v>403.</v>
          </cell>
          <cell r="R433">
            <v>-154187</v>
          </cell>
        </row>
        <row r="434">
          <cell r="A434" t="str">
            <v>P42</v>
          </cell>
          <cell r="B434" t="str">
            <v>Removal costs, net</v>
          </cell>
          <cell r="C434">
            <v>68312500</v>
          </cell>
          <cell r="D434" t="str">
            <v>Rmv Csts-NNS CIAC NT</v>
          </cell>
          <cell r="E434" t="str">
            <v>403.</v>
          </cell>
          <cell r="R434">
            <v>-406244</v>
          </cell>
        </row>
        <row r="435">
          <cell r="A435" t="str">
            <v>P42 Total</v>
          </cell>
          <cell r="B435"/>
          <cell r="C435"/>
          <cell r="D435"/>
          <cell r="E435"/>
          <cell r="R435">
            <v>2280691</v>
          </cell>
        </row>
        <row r="436">
          <cell r="A436" t="str">
            <v>P43</v>
          </cell>
          <cell r="B436" t="str">
            <v>Current federal income taxes - operating</v>
          </cell>
          <cell r="C436">
            <v>69011000</v>
          </cell>
          <cell r="D436" t="str">
            <v>FIT-Current</v>
          </cell>
          <cell r="E436" t="str">
            <v>409.10</v>
          </cell>
          <cell r="R436">
            <v>4831489.9500022596</v>
          </cell>
        </row>
        <row r="437">
          <cell r="A437" t="str">
            <v>P43</v>
          </cell>
          <cell r="B437" t="str">
            <v>Current federal income taxes - operating</v>
          </cell>
          <cell r="C437">
            <v>69012000</v>
          </cell>
          <cell r="D437" t="str">
            <v>FIT-Prior Year Adj</v>
          </cell>
          <cell r="E437" t="str">
            <v>409.10</v>
          </cell>
          <cell r="R437">
            <v>0</v>
          </cell>
        </row>
        <row r="438">
          <cell r="A438" t="str">
            <v>P43 Total</v>
          </cell>
          <cell r="B438"/>
          <cell r="C438"/>
          <cell r="D438"/>
          <cell r="E438"/>
          <cell r="R438">
            <v>4831489.9500022596</v>
          </cell>
        </row>
        <row r="439">
          <cell r="A439" t="str">
            <v>P44</v>
          </cell>
          <cell r="B439" t="str">
            <v>Current state income taxes - operating</v>
          </cell>
          <cell r="C439">
            <v>69021000</v>
          </cell>
          <cell r="D439" t="str">
            <v>SIT-Current</v>
          </cell>
          <cell r="E439" t="str">
            <v>409.11</v>
          </cell>
          <cell r="R439">
            <v>1042164.2999302045</v>
          </cell>
        </row>
        <row r="440">
          <cell r="A440" t="str">
            <v>P44</v>
          </cell>
          <cell r="B440" t="str">
            <v>Current state income taxes - operating</v>
          </cell>
          <cell r="C440">
            <v>69022000</v>
          </cell>
          <cell r="D440" t="str">
            <v>SIT-Prior Year Adj</v>
          </cell>
          <cell r="E440" t="str">
            <v>409.11</v>
          </cell>
          <cell r="R440">
            <v>0</v>
          </cell>
        </row>
        <row r="441">
          <cell r="A441" t="str">
            <v>P44 Total</v>
          </cell>
          <cell r="B441"/>
          <cell r="C441"/>
          <cell r="D441"/>
          <cell r="E441"/>
          <cell r="R441">
            <v>1042164.2999302045</v>
          </cell>
        </row>
        <row r="442">
          <cell r="A442" t="str">
            <v>P45</v>
          </cell>
          <cell r="B442" t="str">
            <v>Deferred federal income tax expense</v>
          </cell>
          <cell r="C442">
            <v>69061000</v>
          </cell>
          <cell r="D442" t="str">
            <v>Def FIT-Current Year</v>
          </cell>
          <cell r="E442" t="str">
            <v>410.10</v>
          </cell>
          <cell r="R442">
            <v>0</v>
          </cell>
        </row>
        <row r="443">
          <cell r="A443" t="str">
            <v>P45</v>
          </cell>
          <cell r="B443" t="str">
            <v>Deferred federal income tax expense</v>
          </cell>
          <cell r="C443">
            <v>69062000</v>
          </cell>
          <cell r="D443" t="str">
            <v>Def FIT-Pr Yr Adj</v>
          </cell>
          <cell r="E443" t="str">
            <v>410.10</v>
          </cell>
          <cell r="R443">
            <v>0</v>
          </cell>
        </row>
        <row r="444">
          <cell r="A444" t="str">
            <v>P45</v>
          </cell>
          <cell r="B444" t="str">
            <v>Deferred federal income tax expense</v>
          </cell>
          <cell r="C444">
            <v>69063000</v>
          </cell>
          <cell r="D444" t="str">
            <v>Def FIT-RegAsst/Liab</v>
          </cell>
          <cell r="E444" t="str">
            <v>410.10</v>
          </cell>
          <cell r="R444">
            <v>-65942.498360214944</v>
          </cell>
        </row>
        <row r="445">
          <cell r="A445" t="str">
            <v>P45</v>
          </cell>
          <cell r="B445" t="str">
            <v>Deferred federal income tax expense</v>
          </cell>
          <cell r="C445">
            <v>69063200</v>
          </cell>
          <cell r="D445" t="str">
            <v>Def FIT-Reg Liability</v>
          </cell>
          <cell r="E445" t="str">
            <v>410.10</v>
          </cell>
          <cell r="R445">
            <v>0</v>
          </cell>
        </row>
        <row r="446">
          <cell r="A446" t="str">
            <v>P45</v>
          </cell>
          <cell r="B446" t="str">
            <v>Deferred federal income tax expense</v>
          </cell>
          <cell r="C446">
            <v>69065000</v>
          </cell>
          <cell r="D446" t="str">
            <v>Def FIT-Other</v>
          </cell>
          <cell r="E446" t="str">
            <v>410.10</v>
          </cell>
          <cell r="R446">
            <v>-612910.32232675899</v>
          </cell>
        </row>
        <row r="447">
          <cell r="A447" t="str">
            <v>P45 Total</v>
          </cell>
          <cell r="B447"/>
          <cell r="C447"/>
          <cell r="D447"/>
          <cell r="E447"/>
          <cell r="R447">
            <v>-678852.82068697398</v>
          </cell>
        </row>
        <row r="448">
          <cell r="A448" t="str">
            <v>P46</v>
          </cell>
          <cell r="B448" t="str">
            <v>Deferred state income tax expense</v>
          </cell>
          <cell r="C448">
            <v>69071000</v>
          </cell>
          <cell r="D448" t="str">
            <v>Def SIT-Current Year</v>
          </cell>
          <cell r="E448" t="str">
            <v>410.11</v>
          </cell>
          <cell r="R448">
            <v>0</v>
          </cell>
        </row>
        <row r="449">
          <cell r="A449" t="str">
            <v>P46</v>
          </cell>
          <cell r="B449" t="str">
            <v>Deferred state income tax expense</v>
          </cell>
          <cell r="C449">
            <v>69072000</v>
          </cell>
          <cell r="D449" t="str">
            <v>Def SIT-Pr Yr Adj</v>
          </cell>
          <cell r="E449" t="str">
            <v>410.11</v>
          </cell>
          <cell r="R449">
            <v>0</v>
          </cell>
        </row>
        <row r="450">
          <cell r="A450" t="str">
            <v>P46</v>
          </cell>
          <cell r="B450" t="str">
            <v>Deferred state income tax expense</v>
          </cell>
          <cell r="C450">
            <v>69073000</v>
          </cell>
          <cell r="D450" t="str">
            <v>Def SIT-RegAsst/Liab</v>
          </cell>
          <cell r="E450" t="str">
            <v>410.11</v>
          </cell>
          <cell r="R450">
            <v>-62970.999999999993</v>
          </cell>
        </row>
        <row r="451">
          <cell r="A451" t="str">
            <v>P46</v>
          </cell>
          <cell r="B451" t="str">
            <v>Deferred state income tax expense</v>
          </cell>
          <cell r="C451">
            <v>69073200</v>
          </cell>
          <cell r="D451" t="str">
            <v>Def SIT-Reg Liability</v>
          </cell>
          <cell r="E451" t="str">
            <v>410.11</v>
          </cell>
          <cell r="R451">
            <v>0</v>
          </cell>
        </row>
        <row r="452">
          <cell r="A452" t="str">
            <v>P46</v>
          </cell>
          <cell r="B452" t="str">
            <v>Deferred state income tax expense</v>
          </cell>
          <cell r="C452">
            <v>69073500</v>
          </cell>
          <cell r="D452" t="str">
            <v>Def SIT-Other</v>
          </cell>
          <cell r="E452" t="str">
            <v>410.11</v>
          </cell>
          <cell r="R452">
            <v>10837.716534646548</v>
          </cell>
        </row>
        <row r="453">
          <cell r="A453" t="str">
            <v>P46 Total</v>
          </cell>
          <cell r="B453"/>
          <cell r="C453"/>
          <cell r="D453"/>
          <cell r="E453"/>
          <cell r="R453">
            <v>-52133.283465353445</v>
          </cell>
        </row>
        <row r="454">
          <cell r="A454" t="str">
            <v>P47</v>
          </cell>
          <cell r="B454" t="str">
            <v>Amortization of investment tax credits</v>
          </cell>
          <cell r="C454">
            <v>69520000</v>
          </cell>
          <cell r="D454" t="str">
            <v>ITC Restored FIT</v>
          </cell>
          <cell r="E454" t="str">
            <v>412.11</v>
          </cell>
          <cell r="R454">
            <v>0</v>
          </cell>
        </row>
        <row r="455">
          <cell r="A455" t="str">
            <v>P47</v>
          </cell>
          <cell r="B455" t="str">
            <v>Amortization of investment tax credits</v>
          </cell>
          <cell r="C455">
            <v>69522000</v>
          </cell>
          <cell r="D455" t="str">
            <v>ITC Restored-3%</v>
          </cell>
          <cell r="E455" t="str">
            <v>412.11</v>
          </cell>
          <cell r="R455">
            <v>-7656</v>
          </cell>
        </row>
        <row r="456">
          <cell r="A456" t="str">
            <v>P47</v>
          </cell>
          <cell r="B456" t="str">
            <v>Amortization of investment tax credits</v>
          </cell>
          <cell r="C456">
            <v>69523000</v>
          </cell>
          <cell r="D456" t="str">
            <v>ITC Restored-4%</v>
          </cell>
          <cell r="E456" t="str">
            <v>412.11</v>
          </cell>
          <cell r="R456">
            <v>0</v>
          </cell>
        </row>
        <row r="457">
          <cell r="A457" t="str">
            <v>P47</v>
          </cell>
          <cell r="B457" t="str">
            <v>Amortization of investment tax credits</v>
          </cell>
          <cell r="C457">
            <v>69524000</v>
          </cell>
          <cell r="D457" t="str">
            <v>ITC Restored-10%</v>
          </cell>
          <cell r="E457" t="str">
            <v>412.11</v>
          </cell>
          <cell r="R457">
            <v>-70836</v>
          </cell>
        </row>
        <row r="458">
          <cell r="A458" t="str">
            <v>P47 Total</v>
          </cell>
          <cell r="B458"/>
          <cell r="C458"/>
          <cell r="D458"/>
          <cell r="E458"/>
          <cell r="R458">
            <v>-78492</v>
          </cell>
        </row>
        <row r="459">
          <cell r="A459" t="str">
            <v>P48</v>
          </cell>
          <cell r="B459" t="str">
            <v>General taxes</v>
          </cell>
          <cell r="C459">
            <v>68520000</v>
          </cell>
          <cell r="D459" t="str">
            <v>Property Taxes</v>
          </cell>
          <cell r="E459" t="str">
            <v>408.11</v>
          </cell>
          <cell r="R459">
            <v>6602753</v>
          </cell>
        </row>
        <row r="460">
          <cell r="A460" t="str">
            <v>P48</v>
          </cell>
          <cell r="B460" t="str">
            <v>General taxes</v>
          </cell>
          <cell r="C460">
            <v>68520100</v>
          </cell>
          <cell r="D460" t="str">
            <v>Tax Discounts</v>
          </cell>
          <cell r="E460" t="str">
            <v>408.11</v>
          </cell>
          <cell r="R460">
            <v>-503</v>
          </cell>
        </row>
        <row r="461">
          <cell r="A461" t="str">
            <v>P48</v>
          </cell>
          <cell r="B461" t="str">
            <v>General taxes</v>
          </cell>
          <cell r="C461">
            <v>68532000</v>
          </cell>
          <cell r="D461" t="str">
            <v>FUTA</v>
          </cell>
          <cell r="E461" t="str">
            <v>408.12</v>
          </cell>
          <cell r="R461">
            <v>7017</v>
          </cell>
        </row>
        <row r="462">
          <cell r="A462" t="str">
            <v>P48</v>
          </cell>
          <cell r="B462" t="str">
            <v>General taxes</v>
          </cell>
          <cell r="C462">
            <v>68532100</v>
          </cell>
          <cell r="D462" t="str">
            <v>FUTA Cap Credits</v>
          </cell>
          <cell r="E462" t="str">
            <v>408.12</v>
          </cell>
          <cell r="R462">
            <v>-2058</v>
          </cell>
        </row>
        <row r="463">
          <cell r="A463" t="str">
            <v>P48</v>
          </cell>
          <cell r="B463" t="str">
            <v>General taxes</v>
          </cell>
          <cell r="C463">
            <v>68533000</v>
          </cell>
          <cell r="D463" t="str">
            <v>FICA</v>
          </cell>
          <cell r="E463" t="str">
            <v>408.12</v>
          </cell>
          <cell r="R463">
            <v>764592</v>
          </cell>
        </row>
        <row r="464">
          <cell r="A464" t="str">
            <v>P48</v>
          </cell>
          <cell r="B464" t="str">
            <v>General taxes</v>
          </cell>
          <cell r="C464">
            <v>68533100</v>
          </cell>
          <cell r="D464" t="str">
            <v>FICA Cap Credits</v>
          </cell>
          <cell r="E464" t="str">
            <v>408.12</v>
          </cell>
          <cell r="R464">
            <v>-221558</v>
          </cell>
        </row>
        <row r="465">
          <cell r="A465" t="str">
            <v>P48</v>
          </cell>
          <cell r="B465" t="str">
            <v>General taxes</v>
          </cell>
          <cell r="C465">
            <v>68535000</v>
          </cell>
          <cell r="D465" t="str">
            <v>SUTA</v>
          </cell>
          <cell r="E465" t="str">
            <v>408.12</v>
          </cell>
          <cell r="R465">
            <v>25875</v>
          </cell>
        </row>
        <row r="466">
          <cell r="A466" t="str">
            <v>P48</v>
          </cell>
          <cell r="B466" t="str">
            <v>General taxes</v>
          </cell>
          <cell r="C466">
            <v>68535100</v>
          </cell>
          <cell r="D466" t="str">
            <v>SUTA Cap Credits</v>
          </cell>
          <cell r="E466" t="str">
            <v>408.12</v>
          </cell>
          <cell r="R466">
            <v>-7310</v>
          </cell>
        </row>
        <row r="467">
          <cell r="A467" t="str">
            <v>P48</v>
          </cell>
          <cell r="B467" t="str">
            <v>General taxes</v>
          </cell>
          <cell r="C467">
            <v>68543000</v>
          </cell>
          <cell r="D467" t="str">
            <v>Othr Taxes &amp;Licenses</v>
          </cell>
          <cell r="E467" t="str">
            <v>408.13</v>
          </cell>
          <cell r="R467">
            <v>4263</v>
          </cell>
        </row>
        <row r="468">
          <cell r="A468" t="str">
            <v>P48</v>
          </cell>
          <cell r="B468" t="str">
            <v>General taxes</v>
          </cell>
          <cell r="C468">
            <v>68544000</v>
          </cell>
          <cell r="D468" t="str">
            <v>Gross Receipts Tax</v>
          </cell>
          <cell r="E468" t="str">
            <v>408.13</v>
          </cell>
          <cell r="R468">
            <v>2382</v>
          </cell>
        </row>
        <row r="469">
          <cell r="A469" t="str">
            <v>P48</v>
          </cell>
          <cell r="B469" t="str">
            <v>General taxes</v>
          </cell>
          <cell r="C469">
            <v>68545000</v>
          </cell>
          <cell r="D469" t="str">
            <v>Utility Reg Assessme</v>
          </cell>
          <cell r="E469" t="str">
            <v>408.10</v>
          </cell>
          <cell r="R469">
            <v>186974</v>
          </cell>
        </row>
        <row r="470">
          <cell r="A470" t="str">
            <v>P48 Total</v>
          </cell>
          <cell r="B470"/>
          <cell r="C470"/>
          <cell r="D470"/>
          <cell r="E470"/>
          <cell r="R470">
            <v>7362427</v>
          </cell>
        </row>
        <row r="471">
          <cell r="A471" t="str">
            <v>P49</v>
          </cell>
          <cell r="B471" t="str">
            <v>Gain/Loss on sale of assets</v>
          </cell>
          <cell r="C471">
            <v>59011500</v>
          </cell>
          <cell r="D471" t="str">
            <v>Gains/Losses Non-Utility Property Sales</v>
          </cell>
          <cell r="E471" t="str">
            <v>426.</v>
          </cell>
          <cell r="R471">
            <v>-1900000</v>
          </cell>
        </row>
        <row r="472">
          <cell r="A472" t="str">
            <v>P49</v>
          </cell>
          <cell r="B472" t="str">
            <v>Gain/Loss on sale of assets</v>
          </cell>
          <cell r="C472">
            <v>59021000</v>
          </cell>
          <cell r="D472" t="str">
            <v>Gains/LossesUP Sales</v>
          </cell>
          <cell r="E472" t="str">
            <v>426.</v>
          </cell>
          <cell r="R472">
            <v>0</v>
          </cell>
        </row>
        <row r="473">
          <cell r="A473" t="str">
            <v>P49</v>
          </cell>
          <cell r="B473" t="str">
            <v>Gain/Loss on sale of assets</v>
          </cell>
          <cell r="C473">
            <v>59022000</v>
          </cell>
          <cell r="D473" t="str">
            <v>Gain Acquis of Asset</v>
          </cell>
          <cell r="E473" t="str">
            <v>426.</v>
          </cell>
          <cell r="R473">
            <v>79392</v>
          </cell>
        </row>
        <row r="474">
          <cell r="A474" t="str">
            <v>P49 Total</v>
          </cell>
          <cell r="B474"/>
          <cell r="C474"/>
          <cell r="D474"/>
          <cell r="E474"/>
          <cell r="R474">
            <v>-1820608</v>
          </cell>
        </row>
        <row r="475">
          <cell r="A475" t="str">
            <v>P52</v>
          </cell>
          <cell r="B475" t="str">
            <v>Allowance for funds used during construction</v>
          </cell>
          <cell r="C475">
            <v>70510000</v>
          </cell>
          <cell r="D475" t="str">
            <v>AFUDC-Equity</v>
          </cell>
          <cell r="E475" t="str">
            <v>420.</v>
          </cell>
          <cell r="R475">
            <v>-655786</v>
          </cell>
        </row>
        <row r="476">
          <cell r="A476" t="str">
            <v>P52 Total</v>
          </cell>
          <cell r="B476"/>
          <cell r="C476"/>
          <cell r="D476"/>
          <cell r="E476"/>
          <cell r="R476">
            <v>-655786</v>
          </cell>
        </row>
        <row r="477">
          <cell r="A477" t="str">
            <v>P53</v>
          </cell>
          <cell r="B477" t="str">
            <v>Other miscellaneous income</v>
          </cell>
          <cell r="C477">
            <v>71511000</v>
          </cell>
          <cell r="D477" t="str">
            <v>M&amp;J Revenues</v>
          </cell>
          <cell r="E477" t="str">
            <v>415.</v>
          </cell>
          <cell r="R477">
            <v>0</v>
          </cell>
        </row>
        <row r="478">
          <cell r="A478" t="str">
            <v>P53</v>
          </cell>
          <cell r="B478" t="str">
            <v>Other miscellaneous income</v>
          </cell>
          <cell r="C478">
            <v>71521000</v>
          </cell>
          <cell r="D478" t="str">
            <v>M&amp;J Expenses</v>
          </cell>
          <cell r="E478" t="str">
            <v>416.</v>
          </cell>
          <cell r="R478">
            <v>-14334</v>
          </cell>
        </row>
        <row r="479">
          <cell r="A479" t="str">
            <v>P53</v>
          </cell>
          <cell r="B479" t="str">
            <v>Other miscellaneous income</v>
          </cell>
          <cell r="C479">
            <v>71611000</v>
          </cell>
          <cell r="D479" t="str">
            <v>Misc NU Revenue</v>
          </cell>
          <cell r="E479" t="str">
            <v>421.</v>
          </cell>
          <cell r="R479">
            <v>0</v>
          </cell>
        </row>
        <row r="480">
          <cell r="A480" t="str">
            <v>P53</v>
          </cell>
          <cell r="B480" t="str">
            <v>Other miscellaneous income</v>
          </cell>
          <cell r="C480">
            <v>72801000</v>
          </cell>
          <cell r="D480" t="str">
            <v>Adv Rcpt Svcs Clrg</v>
          </cell>
          <cell r="E480" t="str">
            <v>421.</v>
          </cell>
          <cell r="R480">
            <v>0</v>
          </cell>
        </row>
        <row r="481">
          <cell r="A481" t="str">
            <v>P53</v>
          </cell>
          <cell r="B481" t="str">
            <v>Other miscellaneous income</v>
          </cell>
          <cell r="C481">
            <v>72801100</v>
          </cell>
          <cell r="D481" t="str">
            <v>Adv Rcpt Non-Srv Clr</v>
          </cell>
          <cell r="E481" t="str">
            <v>421.</v>
          </cell>
          <cell r="R481">
            <v>0</v>
          </cell>
        </row>
        <row r="482">
          <cell r="A482" t="str">
            <v>P53</v>
          </cell>
          <cell r="B482" t="str">
            <v>Other miscellaneous income</v>
          </cell>
          <cell r="C482">
            <v>72801300</v>
          </cell>
          <cell r="D482" t="str">
            <v>Adv Ref Non-Srv Clr</v>
          </cell>
          <cell r="E482" t="str">
            <v>421.</v>
          </cell>
          <cell r="R482">
            <v>0</v>
          </cell>
        </row>
        <row r="483">
          <cell r="A483" t="str">
            <v>P53</v>
          </cell>
          <cell r="B483" t="str">
            <v>Other miscellaneous income</v>
          </cell>
          <cell r="C483">
            <v>72802000</v>
          </cell>
          <cell r="D483" t="str">
            <v>CIAC Rcpt Svcs Clrg</v>
          </cell>
          <cell r="E483" t="str">
            <v>421.</v>
          </cell>
          <cell r="R483">
            <v>0</v>
          </cell>
        </row>
        <row r="484">
          <cell r="A484" t="str">
            <v>P53</v>
          </cell>
          <cell r="B484" t="str">
            <v>Other miscellaneous income</v>
          </cell>
          <cell r="C484">
            <v>72802100</v>
          </cell>
          <cell r="D484" t="str">
            <v>CIAC Rcpt Non-SrvClr</v>
          </cell>
          <cell r="E484" t="str">
            <v>421.</v>
          </cell>
          <cell r="R484">
            <v>0</v>
          </cell>
        </row>
        <row r="485">
          <cell r="A485" t="str">
            <v>P53</v>
          </cell>
          <cell r="B485" t="str">
            <v>Other miscellaneous income</v>
          </cell>
          <cell r="C485">
            <v>72803000</v>
          </cell>
          <cell r="D485" t="str">
            <v>Salvg/Scrap Rcpt Clr</v>
          </cell>
          <cell r="E485" t="str">
            <v>421.</v>
          </cell>
          <cell r="R485">
            <v>0</v>
          </cell>
        </row>
        <row r="486">
          <cell r="A486" t="str">
            <v>P53 Total</v>
          </cell>
          <cell r="B486"/>
          <cell r="C486"/>
          <cell r="D486"/>
          <cell r="E486"/>
          <cell r="R486">
            <v>-14334</v>
          </cell>
        </row>
        <row r="487">
          <cell r="A487" t="str">
            <v>P55</v>
          </cell>
          <cell r="B487" t="str">
            <v>Miscellaneous amortization</v>
          </cell>
          <cell r="C487">
            <v>75510000</v>
          </cell>
          <cell r="D487" t="str">
            <v>Amort UPAA</v>
          </cell>
          <cell r="E487" t="str">
            <v>426.</v>
          </cell>
          <cell r="R487">
            <v>-210</v>
          </cell>
        </row>
        <row r="488">
          <cell r="A488" t="str">
            <v>P55 Total</v>
          </cell>
          <cell r="B488"/>
          <cell r="C488"/>
          <cell r="D488"/>
          <cell r="E488"/>
          <cell r="R488">
            <v>-210</v>
          </cell>
        </row>
        <row r="489">
          <cell r="A489" t="str">
            <v>P56</v>
          </cell>
          <cell r="B489" t="str">
            <v>Other miscellaneous deductions</v>
          </cell>
          <cell r="C489">
            <v>71621000</v>
          </cell>
          <cell r="D489" t="str">
            <v>Misc NU Expense</v>
          </cell>
          <cell r="E489" t="str">
            <v>426.</v>
          </cell>
          <cell r="R489">
            <v>38843</v>
          </cell>
        </row>
        <row r="490">
          <cell r="A490" t="str">
            <v>P56</v>
          </cell>
          <cell r="B490" t="str">
            <v>Other miscellaneous deductions</v>
          </cell>
          <cell r="C490">
            <v>71712000</v>
          </cell>
          <cell r="D490" t="str">
            <v>Gn/Loss Othr Non-OP</v>
          </cell>
          <cell r="E490" t="str">
            <v>426.</v>
          </cell>
          <cell r="R490">
            <v>15088</v>
          </cell>
        </row>
        <row r="491">
          <cell r="A491" t="str">
            <v>P56</v>
          </cell>
          <cell r="B491" t="str">
            <v>Other miscellaneous deductions</v>
          </cell>
          <cell r="C491">
            <v>71810000</v>
          </cell>
          <cell r="D491" t="str">
            <v>Other Pension Cost</v>
          </cell>
          <cell r="E491" t="str">
            <v>604.8</v>
          </cell>
          <cell r="R491">
            <v>142410</v>
          </cell>
        </row>
        <row r="492">
          <cell r="A492" t="str">
            <v>P56</v>
          </cell>
          <cell r="B492" t="str">
            <v>Other miscellaneous deductions</v>
          </cell>
          <cell r="C492">
            <v>71820000</v>
          </cell>
          <cell r="D492" t="str">
            <v>Other PBOP Cost</v>
          </cell>
          <cell r="E492" t="str">
            <v>604.8</v>
          </cell>
          <cell r="R492">
            <v>-480989</v>
          </cell>
        </row>
        <row r="493">
          <cell r="A493" t="str">
            <v>P56</v>
          </cell>
          <cell r="B493" t="str">
            <v>Other miscellaneous deductions</v>
          </cell>
          <cell r="C493">
            <v>75811000</v>
          </cell>
          <cell r="D493" t="str">
            <v>Donations Ded Cust</v>
          </cell>
          <cell r="E493" t="str">
            <v>426.</v>
          </cell>
          <cell r="R493">
            <v>0</v>
          </cell>
        </row>
        <row r="494">
          <cell r="A494" t="str">
            <v>P56</v>
          </cell>
          <cell r="B494" t="str">
            <v>Other miscellaneous deductions</v>
          </cell>
          <cell r="C494">
            <v>75820000</v>
          </cell>
          <cell r="D494" t="str">
            <v>Othr Income Deductns</v>
          </cell>
          <cell r="E494" t="str">
            <v>426.</v>
          </cell>
          <cell r="R494">
            <v>28099</v>
          </cell>
        </row>
        <row r="495">
          <cell r="A495" t="str">
            <v>P56</v>
          </cell>
          <cell r="B495" t="str">
            <v>Other miscellaneous deductions</v>
          </cell>
          <cell r="C495">
            <v>75840000</v>
          </cell>
          <cell r="D495" t="str">
            <v>Lobbying Expenses</v>
          </cell>
          <cell r="E495" t="str">
            <v>426.</v>
          </cell>
          <cell r="R495">
            <v>73345</v>
          </cell>
        </row>
        <row r="496">
          <cell r="A496" t="str">
            <v>P56 Total</v>
          </cell>
          <cell r="B496"/>
          <cell r="C496"/>
          <cell r="D496"/>
          <cell r="E496"/>
          <cell r="R496">
            <v>-183204</v>
          </cell>
        </row>
        <row r="497">
          <cell r="A497" t="str">
            <v>P57</v>
          </cell>
          <cell r="B497" t="str">
            <v>Current federal income taxes - non-operating</v>
          </cell>
          <cell r="C497">
            <v>69031000</v>
          </cell>
          <cell r="D497" t="str">
            <v>FIT-Oth Inc&amp;Ded CY</v>
          </cell>
          <cell r="E497" t="str">
            <v>409.20</v>
          </cell>
          <cell r="R497">
            <v>-34224</v>
          </cell>
        </row>
        <row r="498">
          <cell r="A498" t="str">
            <v>P57 Total</v>
          </cell>
          <cell r="B498"/>
          <cell r="C498"/>
          <cell r="D498"/>
          <cell r="E498"/>
          <cell r="R498">
            <v>-34224</v>
          </cell>
        </row>
        <row r="499">
          <cell r="A499" t="str">
            <v>P58</v>
          </cell>
          <cell r="B499" t="str">
            <v>Current state income taxes - non-operating</v>
          </cell>
          <cell r="C499">
            <v>69041000</v>
          </cell>
          <cell r="D499" t="str">
            <v>SIT-Oth Inc&amp;Ded CY</v>
          </cell>
          <cell r="E499" t="str">
            <v>409.20</v>
          </cell>
          <cell r="R499">
            <v>-8934</v>
          </cell>
        </row>
        <row r="500">
          <cell r="A500" t="str">
            <v>P58 Total</v>
          </cell>
          <cell r="B500"/>
          <cell r="C500"/>
          <cell r="D500"/>
          <cell r="E500"/>
          <cell r="R500">
            <v>-8934</v>
          </cell>
        </row>
        <row r="501">
          <cell r="A501" t="str">
            <v>P59</v>
          </cell>
          <cell r="B501" t="str">
            <v>Interest on long-term debt</v>
          </cell>
          <cell r="C501">
            <v>81010000</v>
          </cell>
          <cell r="D501" t="str">
            <v>Interest LTD</v>
          </cell>
          <cell r="E501" t="str">
            <v>427.3</v>
          </cell>
          <cell r="R501">
            <v>1652556</v>
          </cell>
        </row>
        <row r="502">
          <cell r="A502" t="str">
            <v>P59</v>
          </cell>
          <cell r="B502" t="str">
            <v>Interest on long-term debt</v>
          </cell>
          <cell r="C502">
            <v>81015000</v>
          </cell>
          <cell r="D502" t="str">
            <v>Interest LTD Interco</v>
          </cell>
          <cell r="E502" t="str">
            <v>427.3</v>
          </cell>
          <cell r="R502">
            <v>10579484</v>
          </cell>
        </row>
        <row r="503">
          <cell r="A503" t="str">
            <v>P59</v>
          </cell>
          <cell r="B503" t="str">
            <v>Interest on long-term debt</v>
          </cell>
          <cell r="C503">
            <v>81016000</v>
          </cell>
          <cell r="D503" t="str">
            <v>Int exp-debt dis-ins</v>
          </cell>
          <cell r="E503" t="str">
            <v>427.3</v>
          </cell>
          <cell r="R503">
            <v>1264</v>
          </cell>
        </row>
        <row r="504">
          <cell r="A504" t="str">
            <v>P59</v>
          </cell>
          <cell r="B504" t="str">
            <v>Interest on long-term debt</v>
          </cell>
          <cell r="C504">
            <v>81020000</v>
          </cell>
          <cell r="D504" t="str">
            <v>Div Decl P/S w/ MRR</v>
          </cell>
          <cell r="E504" t="str">
            <v>437.</v>
          </cell>
          <cell r="R504">
            <v>127578</v>
          </cell>
        </row>
        <row r="505">
          <cell r="A505" t="str">
            <v>P59 Total</v>
          </cell>
          <cell r="B505"/>
          <cell r="C505"/>
          <cell r="D505"/>
          <cell r="E505"/>
          <cell r="R505">
            <v>12360882</v>
          </cell>
        </row>
        <row r="506">
          <cell r="A506" t="str">
            <v>P60</v>
          </cell>
          <cell r="B506" t="str">
            <v>Interest on short-term debt</v>
          </cell>
          <cell r="C506">
            <v>81315000</v>
          </cell>
          <cell r="D506" t="str">
            <v>Interest STD Interco</v>
          </cell>
          <cell r="E506" t="str">
            <v>427.2</v>
          </cell>
          <cell r="R506">
            <v>244370</v>
          </cell>
        </row>
        <row r="507">
          <cell r="A507" t="str">
            <v>P60 Total</v>
          </cell>
          <cell r="B507"/>
          <cell r="C507"/>
          <cell r="D507"/>
          <cell r="E507"/>
          <cell r="R507">
            <v>244370</v>
          </cell>
        </row>
        <row r="508">
          <cell r="A508" t="str">
            <v>P61</v>
          </cell>
          <cell r="B508" t="str">
            <v>Other interest expense</v>
          </cell>
          <cell r="C508">
            <v>81500000</v>
          </cell>
          <cell r="D508" t="str">
            <v>Interest Other</v>
          </cell>
          <cell r="E508" t="str">
            <v>427.5</v>
          </cell>
          <cell r="R508">
            <v>0</v>
          </cell>
        </row>
        <row r="509">
          <cell r="A509" t="str">
            <v>P61 Total</v>
          </cell>
          <cell r="B509"/>
          <cell r="C509"/>
          <cell r="D509"/>
          <cell r="E509"/>
          <cell r="R509">
            <v>0</v>
          </cell>
        </row>
        <row r="510">
          <cell r="A510" t="str">
            <v>P62</v>
          </cell>
          <cell r="B510" t="str">
            <v>Allowance for borrowed funds used during cons</v>
          </cell>
          <cell r="C510">
            <v>85000000</v>
          </cell>
          <cell r="D510" t="str">
            <v>AFUDC Debt</v>
          </cell>
          <cell r="E510" t="str">
            <v>420.</v>
          </cell>
          <cell r="R510">
            <v>-312965</v>
          </cell>
        </row>
        <row r="511">
          <cell r="A511" t="str">
            <v>P62 Total</v>
          </cell>
          <cell r="B511"/>
          <cell r="C511"/>
          <cell r="D511"/>
          <cell r="E511"/>
          <cell r="R511">
            <v>-312965</v>
          </cell>
        </row>
        <row r="512">
          <cell r="A512" t="str">
            <v>P63</v>
          </cell>
          <cell r="B512" t="str">
            <v>Amortization of debt expense</v>
          </cell>
          <cell r="C512">
            <v>82010000</v>
          </cell>
          <cell r="D512" t="str">
            <v>Amort Debt Disc&amp;Exp</v>
          </cell>
          <cell r="E512" t="str">
            <v>428.</v>
          </cell>
          <cell r="R512">
            <v>8046</v>
          </cell>
        </row>
        <row r="513">
          <cell r="A513" t="str">
            <v>P63</v>
          </cell>
          <cell r="B513" t="str">
            <v>Amortization of debt expense</v>
          </cell>
          <cell r="C513">
            <v>82015000</v>
          </cell>
          <cell r="D513" t="str">
            <v>Amort Dbt Dsc&amp;Ex I/C</v>
          </cell>
          <cell r="E513" t="str">
            <v>428.</v>
          </cell>
          <cell r="R513">
            <v>80267</v>
          </cell>
        </row>
        <row r="514">
          <cell r="A514" t="str">
            <v>P63</v>
          </cell>
          <cell r="B514" t="str">
            <v>Amortization of debt expense</v>
          </cell>
          <cell r="C514">
            <v>82016000</v>
          </cell>
          <cell r="D514" t="str">
            <v>Amort Dbt E-Insde CL</v>
          </cell>
          <cell r="E514" t="str">
            <v>428.</v>
          </cell>
          <cell r="R514">
            <v>24932</v>
          </cell>
        </row>
        <row r="515">
          <cell r="A515" t="str">
            <v>P63</v>
          </cell>
          <cell r="B515" t="str">
            <v>Amortization of debt expense</v>
          </cell>
          <cell r="C515">
            <v>82020000</v>
          </cell>
          <cell r="D515" t="str">
            <v>Amort P/S Exp w/ MRR</v>
          </cell>
          <cell r="E515" t="str">
            <v>428.</v>
          </cell>
          <cell r="R515">
            <v>256</v>
          </cell>
        </row>
        <row r="516">
          <cell r="A516" t="str">
            <v>P63 Total</v>
          </cell>
          <cell r="B516"/>
          <cell r="C516"/>
          <cell r="D516"/>
          <cell r="E516"/>
          <cell r="R516">
            <v>113501</v>
          </cell>
        </row>
        <row r="517">
          <cell r="A517" t="str">
            <v>P65</v>
          </cell>
          <cell r="B517" t="str">
            <v>Common Dividends</v>
          </cell>
          <cell r="C517">
            <v>86021500</v>
          </cell>
          <cell r="D517" t="str">
            <v>Div Decl Com Stk I/C</v>
          </cell>
          <cell r="E517" t="str">
            <v>438.</v>
          </cell>
          <cell r="R517">
            <v>11456643</v>
          </cell>
        </row>
      </sheetData>
      <sheetData sheetId="4">
        <row r="1">
          <cell r="D1" t="str">
            <v>Water Only</v>
          </cell>
        </row>
        <row r="6">
          <cell r="A6" t="str">
            <v>P02</v>
          </cell>
          <cell r="B6" t="str">
            <v>Water revenues - residential</v>
          </cell>
          <cell r="C6">
            <v>40111000</v>
          </cell>
          <cell r="D6" t="str">
            <v>Res Sales Billed</v>
          </cell>
          <cell r="E6" t="str">
            <v>461.1</v>
          </cell>
          <cell r="F6">
            <v>-4822203</v>
          </cell>
          <cell r="G6">
            <v>-4877443</v>
          </cell>
          <cell r="H6">
            <v>-4804358</v>
          </cell>
          <cell r="I6">
            <v>-4632996</v>
          </cell>
          <cell r="J6">
            <v>-4253254</v>
          </cell>
          <cell r="K6">
            <v>-4297301</v>
          </cell>
          <cell r="L6">
            <v>-4004629</v>
          </cell>
          <cell r="M6">
            <v>-3819181</v>
          </cell>
          <cell r="N6">
            <v>-4033932</v>
          </cell>
          <cell r="O6">
            <v>-4056701</v>
          </cell>
          <cell r="P6">
            <v>-4419826</v>
          </cell>
          <cell r="Q6">
            <v>-4593399</v>
          </cell>
          <cell r="R6">
            <v>-52615223</v>
          </cell>
        </row>
        <row r="7">
          <cell r="A7" t="str">
            <v>P02 Total</v>
          </cell>
          <cell r="B7"/>
          <cell r="C7"/>
          <cell r="D7"/>
          <cell r="E7"/>
          <cell r="F7">
            <v>-4822203</v>
          </cell>
          <cell r="G7">
            <v>-4877443</v>
          </cell>
          <cell r="H7">
            <v>-4804358</v>
          </cell>
          <cell r="I7">
            <v>-4632996</v>
          </cell>
          <cell r="J7">
            <v>-4253254</v>
          </cell>
          <cell r="K7">
            <v>-4297301</v>
          </cell>
          <cell r="L7">
            <v>-4004629</v>
          </cell>
          <cell r="M7">
            <v>-3819181</v>
          </cell>
          <cell r="N7">
            <v>-4033932</v>
          </cell>
          <cell r="O7">
            <v>-4056701</v>
          </cell>
          <cell r="P7">
            <v>-4419826</v>
          </cell>
          <cell r="Q7">
            <v>-4593399</v>
          </cell>
          <cell r="R7">
            <v>-52615223</v>
          </cell>
        </row>
        <row r="8">
          <cell r="A8" t="str">
            <v>P03</v>
          </cell>
          <cell r="B8" t="str">
            <v>Water revenues - commercial</v>
          </cell>
          <cell r="C8">
            <v>40121000</v>
          </cell>
          <cell r="D8" t="str">
            <v>Com Sales Billed</v>
          </cell>
          <cell r="E8" t="str">
            <v>461.2</v>
          </cell>
          <cell r="F8">
            <v>-2320632</v>
          </cell>
          <cell r="G8">
            <v>-2357964</v>
          </cell>
          <cell r="H8">
            <v>-2309420</v>
          </cell>
          <cell r="I8">
            <v>-2228630</v>
          </cell>
          <cell r="J8">
            <v>-1907030</v>
          </cell>
          <cell r="K8">
            <v>-1826160</v>
          </cell>
          <cell r="L8">
            <v>-1873018</v>
          </cell>
          <cell r="M8">
            <v>-1786281</v>
          </cell>
          <cell r="N8">
            <v>-1886723</v>
          </cell>
          <cell r="O8">
            <v>-1897373</v>
          </cell>
          <cell r="P8">
            <v>-2067211</v>
          </cell>
          <cell r="Q8">
            <v>-2148393</v>
          </cell>
          <cell r="R8">
            <v>-24608835</v>
          </cell>
        </row>
        <row r="9">
          <cell r="A9" t="str">
            <v>P03 Total</v>
          </cell>
          <cell r="B9"/>
          <cell r="C9"/>
          <cell r="D9"/>
          <cell r="E9"/>
          <cell r="F9">
            <v>-2320632</v>
          </cell>
          <cell r="G9">
            <v>-2357964</v>
          </cell>
          <cell r="H9">
            <v>-2309420</v>
          </cell>
          <cell r="I9">
            <v>-2228630</v>
          </cell>
          <cell r="J9">
            <v>-1907030</v>
          </cell>
          <cell r="K9">
            <v>-1826160</v>
          </cell>
          <cell r="L9">
            <v>-1873018</v>
          </cell>
          <cell r="M9">
            <v>-1786281</v>
          </cell>
          <cell r="N9">
            <v>-1886723</v>
          </cell>
          <cell r="O9">
            <v>-1897373</v>
          </cell>
          <cell r="P9">
            <v>-2067211</v>
          </cell>
          <cell r="Q9">
            <v>-2148393</v>
          </cell>
          <cell r="R9">
            <v>-24608835</v>
          </cell>
        </row>
        <row r="10">
          <cell r="A10" t="str">
            <v>P04</v>
          </cell>
          <cell r="B10" t="str">
            <v>Water revenues - industrial</v>
          </cell>
          <cell r="C10">
            <v>40131000</v>
          </cell>
          <cell r="D10" t="str">
            <v>Ind Sales Billed</v>
          </cell>
          <cell r="E10" t="str">
            <v>461.3</v>
          </cell>
          <cell r="F10">
            <v>-256653</v>
          </cell>
          <cell r="G10">
            <v>-268543</v>
          </cell>
          <cell r="H10">
            <v>-249030</v>
          </cell>
          <cell r="I10">
            <v>-247186</v>
          </cell>
          <cell r="J10">
            <v>-211977</v>
          </cell>
          <cell r="K10">
            <v>-192847</v>
          </cell>
          <cell r="L10">
            <v>-206286</v>
          </cell>
          <cell r="M10">
            <v>-196733</v>
          </cell>
          <cell r="N10">
            <v>-207795</v>
          </cell>
          <cell r="O10">
            <v>-208968</v>
          </cell>
          <cell r="P10">
            <v>-227673</v>
          </cell>
          <cell r="Q10">
            <v>-236614</v>
          </cell>
          <cell r="R10">
            <v>-2710305</v>
          </cell>
        </row>
        <row r="11">
          <cell r="A11" t="str">
            <v>P04 Total</v>
          </cell>
          <cell r="B11"/>
          <cell r="C11"/>
          <cell r="D11"/>
          <cell r="E11"/>
          <cell r="F11">
            <v>-256653</v>
          </cell>
          <cell r="G11">
            <v>-268543</v>
          </cell>
          <cell r="H11">
            <v>-249030</v>
          </cell>
          <cell r="I11">
            <v>-247186</v>
          </cell>
          <cell r="J11">
            <v>-211977</v>
          </cell>
          <cell r="K11">
            <v>-192847</v>
          </cell>
          <cell r="L11">
            <v>-206286</v>
          </cell>
          <cell r="M11">
            <v>-196733</v>
          </cell>
          <cell r="N11">
            <v>-207795</v>
          </cell>
          <cell r="O11">
            <v>-208968</v>
          </cell>
          <cell r="P11">
            <v>-227673</v>
          </cell>
          <cell r="Q11">
            <v>-236614</v>
          </cell>
          <cell r="R11">
            <v>-2710305</v>
          </cell>
        </row>
        <row r="12">
          <cell r="A12" t="str">
            <v>P05</v>
          </cell>
          <cell r="B12" t="str">
            <v>Water revenues - public fire</v>
          </cell>
          <cell r="C12">
            <v>40141000</v>
          </cell>
          <cell r="D12" t="str">
            <v>Publ Fire Billed</v>
          </cell>
          <cell r="E12" t="str">
            <v>462.1</v>
          </cell>
          <cell r="F12">
            <v>-362815</v>
          </cell>
          <cell r="G12">
            <v>-362635</v>
          </cell>
          <cell r="H12">
            <v>-362635</v>
          </cell>
          <cell r="I12">
            <v>-362995</v>
          </cell>
          <cell r="J12">
            <v>-363309</v>
          </cell>
          <cell r="K12">
            <v>-363264</v>
          </cell>
          <cell r="L12">
            <v>-314968</v>
          </cell>
          <cell r="M12">
            <v>-300382</v>
          </cell>
          <cell r="N12">
            <v>-317273</v>
          </cell>
          <cell r="O12">
            <v>-319064</v>
          </cell>
          <cell r="P12">
            <v>-347624</v>
          </cell>
          <cell r="Q12">
            <v>-361275</v>
          </cell>
          <cell r="R12">
            <v>-4138239</v>
          </cell>
        </row>
        <row r="13">
          <cell r="A13" t="str">
            <v>P05 Total</v>
          </cell>
          <cell r="B13"/>
          <cell r="C13"/>
          <cell r="D13"/>
          <cell r="E13"/>
          <cell r="F13">
            <v>-362815</v>
          </cell>
          <cell r="G13">
            <v>-362635</v>
          </cell>
          <cell r="H13">
            <v>-362635</v>
          </cell>
          <cell r="I13">
            <v>-362995</v>
          </cell>
          <cell r="J13">
            <v>-363309</v>
          </cell>
          <cell r="K13">
            <v>-363264</v>
          </cell>
          <cell r="L13">
            <v>-314968</v>
          </cell>
          <cell r="M13">
            <v>-300382</v>
          </cell>
          <cell r="N13">
            <v>-317273</v>
          </cell>
          <cell r="O13">
            <v>-319064</v>
          </cell>
          <cell r="P13">
            <v>-347624</v>
          </cell>
          <cell r="Q13">
            <v>-361275</v>
          </cell>
          <cell r="R13">
            <v>-4138239</v>
          </cell>
        </row>
        <row r="14">
          <cell r="A14" t="str">
            <v>P06</v>
          </cell>
          <cell r="B14" t="str">
            <v>Water revenues - private fire</v>
          </cell>
          <cell r="C14">
            <v>40145000</v>
          </cell>
          <cell r="D14" t="str">
            <v>Priv Fire Billed</v>
          </cell>
          <cell r="E14" t="str">
            <v>462.2</v>
          </cell>
          <cell r="F14">
            <v>-240530</v>
          </cell>
          <cell r="G14">
            <v>-240530</v>
          </cell>
          <cell r="H14">
            <v>-240530</v>
          </cell>
          <cell r="I14">
            <v>-240530</v>
          </cell>
          <cell r="J14">
            <v>-240530</v>
          </cell>
          <cell r="K14">
            <v>-240530</v>
          </cell>
          <cell r="L14">
            <v>-208736</v>
          </cell>
          <cell r="M14">
            <v>-199070</v>
          </cell>
          <cell r="N14">
            <v>-210264</v>
          </cell>
          <cell r="O14">
            <v>-211451</v>
          </cell>
          <cell r="P14">
            <v>-230378</v>
          </cell>
          <cell r="Q14">
            <v>-239425</v>
          </cell>
          <cell r="R14">
            <v>-2742504</v>
          </cell>
        </row>
        <row r="15">
          <cell r="A15" t="str">
            <v>P06 Total</v>
          </cell>
          <cell r="B15"/>
          <cell r="C15"/>
          <cell r="D15"/>
          <cell r="E15"/>
          <cell r="F15">
            <v>-240530</v>
          </cell>
          <cell r="G15">
            <v>-240530</v>
          </cell>
          <cell r="H15">
            <v>-240530</v>
          </cell>
          <cell r="I15">
            <v>-240530</v>
          </cell>
          <cell r="J15">
            <v>-240530</v>
          </cell>
          <cell r="K15">
            <v>-240530</v>
          </cell>
          <cell r="L15">
            <v>-208736</v>
          </cell>
          <cell r="M15">
            <v>-199070</v>
          </cell>
          <cell r="N15">
            <v>-210264</v>
          </cell>
          <cell r="O15">
            <v>-211451</v>
          </cell>
          <cell r="P15">
            <v>-230378</v>
          </cell>
          <cell r="Q15">
            <v>-239425</v>
          </cell>
          <cell r="R15">
            <v>-2742504</v>
          </cell>
        </row>
        <row r="16">
          <cell r="A16" t="str">
            <v>P07</v>
          </cell>
          <cell r="B16" t="str">
            <v>Water revenues - public authority</v>
          </cell>
          <cell r="C16">
            <v>40151000</v>
          </cell>
          <cell r="D16" t="str">
            <v>Publ Auth Billed</v>
          </cell>
          <cell r="E16" t="str">
            <v>461.4</v>
          </cell>
          <cell r="F16">
            <v>-711082</v>
          </cell>
          <cell r="G16">
            <v>-734310</v>
          </cell>
          <cell r="H16">
            <v>-664796</v>
          </cell>
          <cell r="I16">
            <v>-588305</v>
          </cell>
          <cell r="J16">
            <v>-478566</v>
          </cell>
          <cell r="K16">
            <v>-440578</v>
          </cell>
          <cell r="L16">
            <v>-523242</v>
          </cell>
          <cell r="M16">
            <v>-499011</v>
          </cell>
          <cell r="N16">
            <v>-527071</v>
          </cell>
          <cell r="O16">
            <v>-530046</v>
          </cell>
          <cell r="P16">
            <v>-577492</v>
          </cell>
          <cell r="Q16">
            <v>-600170</v>
          </cell>
          <cell r="R16">
            <v>-6874669</v>
          </cell>
        </row>
        <row r="17">
          <cell r="A17" t="str">
            <v>P07 Total</v>
          </cell>
          <cell r="B17"/>
          <cell r="C17"/>
          <cell r="D17"/>
          <cell r="E17"/>
          <cell r="F17">
            <v>-711082</v>
          </cell>
          <cell r="G17">
            <v>-734310</v>
          </cell>
          <cell r="H17">
            <v>-664796</v>
          </cell>
          <cell r="I17">
            <v>-588305</v>
          </cell>
          <cell r="J17">
            <v>-478566</v>
          </cell>
          <cell r="K17">
            <v>-440578</v>
          </cell>
          <cell r="L17">
            <v>-523242</v>
          </cell>
          <cell r="M17">
            <v>-499011</v>
          </cell>
          <cell r="N17">
            <v>-527071</v>
          </cell>
          <cell r="O17">
            <v>-530046</v>
          </cell>
          <cell r="P17">
            <v>-577492</v>
          </cell>
          <cell r="Q17">
            <v>-600170</v>
          </cell>
          <cell r="R17">
            <v>-6874669</v>
          </cell>
        </row>
        <row r="18">
          <cell r="A18" t="str">
            <v>P08</v>
          </cell>
          <cell r="B18" t="str">
            <v>Water revenues - sales for resale</v>
          </cell>
          <cell r="C18">
            <v>40161000</v>
          </cell>
          <cell r="D18" t="str">
            <v>Sls/Rsle Billed</v>
          </cell>
          <cell r="E18" t="str">
            <v>466.</v>
          </cell>
          <cell r="F18">
            <v>-211217</v>
          </cell>
          <cell r="G18">
            <v>-220411</v>
          </cell>
          <cell r="H18">
            <v>-209597</v>
          </cell>
          <cell r="I18">
            <v>-191003</v>
          </cell>
          <cell r="J18">
            <v>-156868</v>
          </cell>
          <cell r="K18">
            <v>-156497</v>
          </cell>
          <cell r="L18">
            <v>-165694</v>
          </cell>
          <cell r="M18">
            <v>-158021</v>
          </cell>
          <cell r="N18">
            <v>-166907</v>
          </cell>
          <cell r="O18">
            <v>-167849</v>
          </cell>
          <cell r="P18">
            <v>-182874</v>
          </cell>
          <cell r="Q18">
            <v>-190055</v>
          </cell>
          <cell r="R18">
            <v>-2176993</v>
          </cell>
        </row>
        <row r="19">
          <cell r="A19" t="str">
            <v>P08 Total</v>
          </cell>
          <cell r="B19"/>
          <cell r="C19"/>
          <cell r="D19"/>
          <cell r="E19"/>
          <cell r="F19">
            <v>-211217</v>
          </cell>
          <cell r="G19">
            <v>-220411</v>
          </cell>
          <cell r="H19">
            <v>-209597</v>
          </cell>
          <cell r="I19">
            <v>-191003</v>
          </cell>
          <cell r="J19">
            <v>-156868</v>
          </cell>
          <cell r="K19">
            <v>-156497</v>
          </cell>
          <cell r="L19">
            <v>-165694</v>
          </cell>
          <cell r="M19">
            <v>-158021</v>
          </cell>
          <cell r="N19">
            <v>-166907</v>
          </cell>
          <cell r="O19">
            <v>-167849</v>
          </cell>
          <cell r="P19">
            <v>-182874</v>
          </cell>
          <cell r="Q19">
            <v>-190055</v>
          </cell>
          <cell r="R19">
            <v>-2176993</v>
          </cell>
        </row>
        <row r="20">
          <cell r="A20" t="str">
            <v>P09</v>
          </cell>
          <cell r="B20" t="str">
            <v>Water revenues - other</v>
          </cell>
          <cell r="C20">
            <v>40171000</v>
          </cell>
          <cell r="D20" t="str">
            <v>Misc Sales Billed</v>
          </cell>
          <cell r="E20" t="str">
            <v>474.</v>
          </cell>
          <cell r="F20">
            <v>-7443</v>
          </cell>
          <cell r="G20">
            <v>-12099</v>
          </cell>
          <cell r="H20">
            <v>-6072</v>
          </cell>
          <cell r="I20">
            <v>-9838</v>
          </cell>
          <cell r="J20">
            <v>-5643</v>
          </cell>
          <cell r="K20">
            <v>-5180</v>
          </cell>
          <cell r="L20">
            <v>-6693</v>
          </cell>
          <cell r="M20">
            <v>-6383</v>
          </cell>
          <cell r="N20">
            <v>-6742</v>
          </cell>
          <cell r="O20">
            <v>-6780</v>
          </cell>
          <cell r="P20">
            <v>-7387</v>
          </cell>
          <cell r="Q20">
            <v>-7677</v>
          </cell>
          <cell r="R20">
            <v>-87937</v>
          </cell>
        </row>
        <row r="21">
          <cell r="A21" t="str">
            <v>P09 Total</v>
          </cell>
          <cell r="B21"/>
          <cell r="C21"/>
          <cell r="D21"/>
          <cell r="E21"/>
          <cell r="F21">
            <v>-7443</v>
          </cell>
          <cell r="G21">
            <v>-12099</v>
          </cell>
          <cell r="H21">
            <v>-6072</v>
          </cell>
          <cell r="I21">
            <v>-9838</v>
          </cell>
          <cell r="J21">
            <v>-5643</v>
          </cell>
          <cell r="K21">
            <v>-5180</v>
          </cell>
          <cell r="L21">
            <v>-6693</v>
          </cell>
          <cell r="M21">
            <v>-6383</v>
          </cell>
          <cell r="N21">
            <v>-6742</v>
          </cell>
          <cell r="O21">
            <v>-6780</v>
          </cell>
          <cell r="P21">
            <v>-7387</v>
          </cell>
          <cell r="Q21">
            <v>-7677</v>
          </cell>
          <cell r="R21">
            <v>-87937</v>
          </cell>
        </row>
        <row r="22">
          <cell r="A22" t="str">
            <v>P10</v>
          </cell>
          <cell r="B22" t="str">
            <v>Sewer revenues</v>
          </cell>
          <cell r="C22">
            <v>40211000</v>
          </cell>
          <cell r="D22" t="str">
            <v>Dom WW Svc Billed</v>
          </cell>
          <cell r="E22" t="str">
            <v>522.1</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P10</v>
          </cell>
          <cell r="B23" t="str">
            <v>Sewer revenues</v>
          </cell>
          <cell r="C23">
            <v>40221000</v>
          </cell>
          <cell r="D23" t="str">
            <v>Com WW Svc Billed</v>
          </cell>
          <cell r="E23" t="str">
            <v>522.2</v>
          </cell>
          <cell r="F23">
            <v>0</v>
          </cell>
          <cell r="G23">
            <v>0</v>
          </cell>
          <cell r="H23">
            <v>0</v>
          </cell>
          <cell r="I23">
            <v>0</v>
          </cell>
          <cell r="J23">
            <v>0</v>
          </cell>
          <cell r="K23">
            <v>0</v>
          </cell>
          <cell r="L23">
            <v>0</v>
          </cell>
          <cell r="M23">
            <v>0</v>
          </cell>
          <cell r="N23">
            <v>0</v>
          </cell>
          <cell r="O23">
            <v>0</v>
          </cell>
          <cell r="P23">
            <v>0</v>
          </cell>
          <cell r="Q23">
            <v>0</v>
          </cell>
          <cell r="R23">
            <v>0</v>
          </cell>
        </row>
        <row r="24">
          <cell r="A24" t="str">
            <v>P10</v>
          </cell>
          <cell r="B24" t="str">
            <v>Sewer revenues</v>
          </cell>
          <cell r="C24">
            <v>40231000</v>
          </cell>
          <cell r="D24" t="str">
            <v>Ind WW Svc Billed</v>
          </cell>
          <cell r="E24" t="str">
            <v>522.3</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P10</v>
          </cell>
          <cell r="B25" t="str">
            <v>Sewer revenues</v>
          </cell>
          <cell r="C25">
            <v>40251000</v>
          </cell>
          <cell r="D25" t="str">
            <v>PubAuth WW Billed</v>
          </cell>
          <cell r="E25" t="str">
            <v>522.4</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P10 Total</v>
          </cell>
          <cell r="B26"/>
          <cell r="C26"/>
          <cell r="D26"/>
          <cell r="E26"/>
          <cell r="F26">
            <v>0</v>
          </cell>
          <cell r="G26">
            <v>0</v>
          </cell>
          <cell r="H26">
            <v>0</v>
          </cell>
          <cell r="I26">
            <v>0</v>
          </cell>
          <cell r="J26">
            <v>0</v>
          </cell>
          <cell r="K26">
            <v>0</v>
          </cell>
          <cell r="L26">
            <v>0</v>
          </cell>
          <cell r="M26">
            <v>0</v>
          </cell>
          <cell r="N26">
            <v>0</v>
          </cell>
          <cell r="O26">
            <v>0</v>
          </cell>
          <cell r="P26">
            <v>0</v>
          </cell>
          <cell r="Q26">
            <v>0</v>
          </cell>
          <cell r="R26">
            <v>0</v>
          </cell>
        </row>
        <row r="27">
          <cell r="A27" t="str">
            <v>P11</v>
          </cell>
          <cell r="B27" t="str">
            <v>Other revenues</v>
          </cell>
          <cell r="C27">
            <v>40310100</v>
          </cell>
          <cell r="D27" t="str">
            <v>OthRev-Late Pymt Fee</v>
          </cell>
          <cell r="E27" t="str">
            <v>470.</v>
          </cell>
          <cell r="F27">
            <v>-73916</v>
          </cell>
          <cell r="G27">
            <v>-84582</v>
          </cell>
          <cell r="H27">
            <v>-76592</v>
          </cell>
          <cell r="I27">
            <v>-78318</v>
          </cell>
          <cell r="J27">
            <v>-71824</v>
          </cell>
          <cell r="K27">
            <v>-71924</v>
          </cell>
          <cell r="L27">
            <v>-68363</v>
          </cell>
          <cell r="M27">
            <v>-68063</v>
          </cell>
          <cell r="N27">
            <v>-69462</v>
          </cell>
          <cell r="O27">
            <v>-68489</v>
          </cell>
          <cell r="P27">
            <v>-77846</v>
          </cell>
          <cell r="Q27">
            <v>-80081</v>
          </cell>
          <cell r="R27">
            <v>-889460</v>
          </cell>
        </row>
        <row r="28">
          <cell r="A28" t="str">
            <v>P11</v>
          </cell>
          <cell r="B28" t="str">
            <v>Other revenues</v>
          </cell>
          <cell r="C28">
            <v>40310200</v>
          </cell>
          <cell r="D28" t="str">
            <v>OthRev-Rent</v>
          </cell>
          <cell r="E28" t="str">
            <v>472.</v>
          </cell>
          <cell r="F28">
            <v>-7643</v>
          </cell>
          <cell r="G28">
            <v>-8017</v>
          </cell>
          <cell r="H28">
            <v>-7948</v>
          </cell>
          <cell r="I28">
            <v>-7948</v>
          </cell>
          <cell r="J28">
            <v>-7948</v>
          </cell>
          <cell r="K28">
            <v>-7948</v>
          </cell>
          <cell r="L28">
            <v>-7096</v>
          </cell>
          <cell r="M28">
            <v>-7065</v>
          </cell>
          <cell r="N28">
            <v>-7210</v>
          </cell>
          <cell r="O28">
            <v>-7109</v>
          </cell>
          <cell r="P28">
            <v>-8080</v>
          </cell>
          <cell r="Q28">
            <v>-8312</v>
          </cell>
          <cell r="R28">
            <v>-92324</v>
          </cell>
        </row>
        <row r="29">
          <cell r="A29" t="str">
            <v>P11</v>
          </cell>
          <cell r="B29" t="str">
            <v>Other revenues</v>
          </cell>
          <cell r="C29">
            <v>40310250</v>
          </cell>
          <cell r="D29" t="str">
            <v>OthRev-Rent I/C</v>
          </cell>
          <cell r="E29" t="str">
            <v>473.</v>
          </cell>
          <cell r="F29">
            <v>-12911</v>
          </cell>
          <cell r="G29">
            <v>-12911</v>
          </cell>
          <cell r="H29">
            <v>-12911</v>
          </cell>
          <cell r="I29">
            <v>-12911</v>
          </cell>
          <cell r="J29">
            <v>-12911</v>
          </cell>
          <cell r="K29">
            <v>-12911</v>
          </cell>
          <cell r="L29">
            <v>-11584</v>
          </cell>
          <cell r="M29">
            <v>-11534</v>
          </cell>
          <cell r="N29">
            <v>-11771</v>
          </cell>
          <cell r="O29">
            <v>-11606</v>
          </cell>
          <cell r="P29">
            <v>-13191</v>
          </cell>
          <cell r="Q29">
            <v>-13570</v>
          </cell>
          <cell r="R29">
            <v>-150722</v>
          </cell>
        </row>
        <row r="30">
          <cell r="A30" t="str">
            <v>P11</v>
          </cell>
          <cell r="B30" t="str">
            <v>Other revenues</v>
          </cell>
          <cell r="C30">
            <v>40310300</v>
          </cell>
          <cell r="D30" t="str">
            <v>OthRev-CFO</v>
          </cell>
          <cell r="E30" t="str">
            <v>471.</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P11</v>
          </cell>
          <cell r="B31" t="str">
            <v>Other revenues</v>
          </cell>
          <cell r="C31">
            <v>40310400</v>
          </cell>
          <cell r="D31" t="str">
            <v>OthRev-NSF Ck Chrg</v>
          </cell>
          <cell r="E31" t="str">
            <v>471.</v>
          </cell>
          <cell r="F31">
            <v>-1644</v>
          </cell>
          <cell r="G31">
            <v>-3348</v>
          </cell>
          <cell r="H31">
            <v>-2688</v>
          </cell>
          <cell r="I31">
            <v>-2280</v>
          </cell>
          <cell r="J31">
            <v>-2172</v>
          </cell>
          <cell r="K31">
            <v>-2424</v>
          </cell>
          <cell r="L31">
            <v>-2177</v>
          </cell>
          <cell r="M31">
            <v>-2167</v>
          </cell>
          <cell r="N31">
            <v>-2212</v>
          </cell>
          <cell r="O31">
            <v>-2181</v>
          </cell>
          <cell r="P31">
            <v>-2479</v>
          </cell>
          <cell r="Q31">
            <v>-2550</v>
          </cell>
          <cell r="R31">
            <v>-28322</v>
          </cell>
        </row>
        <row r="32">
          <cell r="A32" t="str">
            <v>P11</v>
          </cell>
          <cell r="B32" t="str">
            <v>Other revenues</v>
          </cell>
          <cell r="C32">
            <v>40310500</v>
          </cell>
          <cell r="D32" t="str">
            <v>OthRev-Appl/InitFee</v>
          </cell>
          <cell r="E32" t="str">
            <v>471.</v>
          </cell>
          <cell r="F32">
            <v>-82822</v>
          </cell>
          <cell r="G32">
            <v>-111048</v>
          </cell>
          <cell r="H32">
            <v>-68796</v>
          </cell>
          <cell r="I32">
            <v>-61742</v>
          </cell>
          <cell r="J32">
            <v>-49973</v>
          </cell>
          <cell r="K32">
            <v>-49346</v>
          </cell>
          <cell r="L32">
            <v>-63363</v>
          </cell>
          <cell r="M32">
            <v>-63087</v>
          </cell>
          <cell r="N32">
            <v>-64383</v>
          </cell>
          <cell r="O32">
            <v>-63482</v>
          </cell>
          <cell r="P32">
            <v>-72153</v>
          </cell>
          <cell r="Q32">
            <v>-74226</v>
          </cell>
          <cell r="R32">
            <v>-824421</v>
          </cell>
        </row>
        <row r="33">
          <cell r="A33" t="str">
            <v>P11</v>
          </cell>
          <cell r="B33" t="str">
            <v>Other revenues</v>
          </cell>
          <cell r="C33">
            <v>40310600</v>
          </cell>
          <cell r="D33" t="str">
            <v>OthRev-Usage Data</v>
          </cell>
          <cell r="E33" t="str">
            <v>471.</v>
          </cell>
          <cell r="F33">
            <v>-4285</v>
          </cell>
          <cell r="G33">
            <v>-4158</v>
          </cell>
          <cell r="H33">
            <v>-4424</v>
          </cell>
          <cell r="I33">
            <v>-4168</v>
          </cell>
          <cell r="J33">
            <v>-2302</v>
          </cell>
          <cell r="K33">
            <v>-4003</v>
          </cell>
          <cell r="L33">
            <v>-3490</v>
          </cell>
          <cell r="M33">
            <v>-3475</v>
          </cell>
          <cell r="N33">
            <v>-3546</v>
          </cell>
          <cell r="O33">
            <v>-3497</v>
          </cell>
          <cell r="P33">
            <v>-3974</v>
          </cell>
          <cell r="Q33">
            <v>-4089</v>
          </cell>
          <cell r="R33">
            <v>-45411</v>
          </cell>
        </row>
        <row r="34">
          <cell r="A34" t="str">
            <v>P11</v>
          </cell>
          <cell r="B34" t="str">
            <v>Other revenues</v>
          </cell>
          <cell r="C34">
            <v>40310700</v>
          </cell>
          <cell r="D34" t="str">
            <v>OthRev-Reconnct Fee</v>
          </cell>
          <cell r="E34" t="str">
            <v>471.</v>
          </cell>
          <cell r="F34">
            <v>-44122</v>
          </cell>
          <cell r="G34">
            <v>-56285</v>
          </cell>
          <cell r="H34">
            <v>-53984</v>
          </cell>
          <cell r="I34">
            <v>-56337</v>
          </cell>
          <cell r="J34">
            <v>-53638</v>
          </cell>
          <cell r="K34">
            <v>-40817</v>
          </cell>
          <cell r="L34">
            <v>-45636</v>
          </cell>
          <cell r="M34">
            <v>-45437</v>
          </cell>
          <cell r="N34">
            <v>-46371</v>
          </cell>
          <cell r="O34">
            <v>-45722</v>
          </cell>
          <cell r="P34">
            <v>-51967</v>
          </cell>
          <cell r="Q34">
            <v>-53460</v>
          </cell>
          <cell r="R34">
            <v>-593776</v>
          </cell>
        </row>
        <row r="35">
          <cell r="A35" t="str">
            <v>P11</v>
          </cell>
          <cell r="B35" t="str">
            <v>Other revenues</v>
          </cell>
          <cell r="C35">
            <v>40319900</v>
          </cell>
          <cell r="D35" t="str">
            <v>OthRev-Misc Svc</v>
          </cell>
          <cell r="E35" t="str">
            <v>471.</v>
          </cell>
          <cell r="F35">
            <v>0</v>
          </cell>
          <cell r="G35">
            <v>0</v>
          </cell>
          <cell r="H35">
            <v>0</v>
          </cell>
          <cell r="I35">
            <v>0</v>
          </cell>
          <cell r="J35">
            <v>0</v>
          </cell>
          <cell r="K35">
            <v>0</v>
          </cell>
          <cell r="L35">
            <v>0</v>
          </cell>
          <cell r="M35">
            <v>0</v>
          </cell>
          <cell r="N35">
            <v>0</v>
          </cell>
          <cell r="O35">
            <v>0</v>
          </cell>
          <cell r="P35">
            <v>0</v>
          </cell>
          <cell r="Q35">
            <v>0</v>
          </cell>
          <cell r="R35">
            <v>0</v>
          </cell>
        </row>
        <row r="36">
          <cell r="A36" t="str">
            <v>P11 Total</v>
          </cell>
          <cell r="B36"/>
          <cell r="C36"/>
          <cell r="D36"/>
          <cell r="E36"/>
          <cell r="F36">
            <v>-227343</v>
          </cell>
          <cell r="G36">
            <v>-280349</v>
          </cell>
          <cell r="H36">
            <v>-227343</v>
          </cell>
          <cell r="I36">
            <v>-223704</v>
          </cell>
          <cell r="J36">
            <v>-200768</v>
          </cell>
          <cell r="K36">
            <v>-189373</v>
          </cell>
          <cell r="L36">
            <v>-201709</v>
          </cell>
          <cell r="M36">
            <v>-200828</v>
          </cell>
          <cell r="N36">
            <v>-204955</v>
          </cell>
          <cell r="O36">
            <v>-202086</v>
          </cell>
          <cell r="P36">
            <v>-229690</v>
          </cell>
          <cell r="Q36">
            <v>-236288</v>
          </cell>
          <cell r="R36">
            <v>-2624436</v>
          </cell>
        </row>
        <row r="37">
          <cell r="A37" t="str">
            <v>P13</v>
          </cell>
          <cell r="B37" t="str">
            <v>Purchased water</v>
          </cell>
          <cell r="C37">
            <v>51010000</v>
          </cell>
          <cell r="D37" t="str">
            <v>Purchased Water</v>
          </cell>
          <cell r="E37" t="str">
            <v>610.1</v>
          </cell>
          <cell r="F37">
            <v>23540</v>
          </cell>
          <cell r="G37">
            <v>27354</v>
          </cell>
          <cell r="H37">
            <v>27676</v>
          </cell>
          <cell r="I37">
            <v>28835</v>
          </cell>
          <cell r="J37">
            <v>27746</v>
          </cell>
          <cell r="K37">
            <v>27477</v>
          </cell>
          <cell r="L37">
            <v>26705</v>
          </cell>
          <cell r="M37">
            <v>28516</v>
          </cell>
          <cell r="N37">
            <v>26076</v>
          </cell>
          <cell r="O37">
            <v>24434</v>
          </cell>
          <cell r="P37">
            <v>28508</v>
          </cell>
          <cell r="Q37">
            <v>24430</v>
          </cell>
          <cell r="R37">
            <v>321297</v>
          </cell>
        </row>
        <row r="38">
          <cell r="A38" t="str">
            <v>P13 Total</v>
          </cell>
          <cell r="B38"/>
          <cell r="C38"/>
          <cell r="D38"/>
          <cell r="E38"/>
          <cell r="F38">
            <v>23540</v>
          </cell>
          <cell r="G38">
            <v>27354</v>
          </cell>
          <cell r="H38">
            <v>27676</v>
          </cell>
          <cell r="I38">
            <v>28835</v>
          </cell>
          <cell r="J38">
            <v>27746</v>
          </cell>
          <cell r="K38">
            <v>27477</v>
          </cell>
          <cell r="L38">
            <v>26705</v>
          </cell>
          <cell r="M38">
            <v>28516</v>
          </cell>
          <cell r="N38">
            <v>26076</v>
          </cell>
          <cell r="O38">
            <v>24434</v>
          </cell>
          <cell r="P38">
            <v>28508</v>
          </cell>
          <cell r="Q38">
            <v>24430</v>
          </cell>
          <cell r="R38">
            <v>321297</v>
          </cell>
        </row>
        <row r="39">
          <cell r="A39" t="str">
            <v>P14</v>
          </cell>
          <cell r="B39" t="str">
            <v>Fuel and power</v>
          </cell>
          <cell r="C39">
            <v>51510000</v>
          </cell>
          <cell r="D39" t="str">
            <v>Purchased Power</v>
          </cell>
          <cell r="E39" t="str">
            <v>615.8</v>
          </cell>
          <cell r="F39">
            <v>363965.59998319478</v>
          </cell>
          <cell r="G39">
            <v>398290.45846880792</v>
          </cell>
          <cell r="H39">
            <v>353334.21577033639</v>
          </cell>
          <cell r="I39">
            <v>328151.18533869658</v>
          </cell>
          <cell r="J39">
            <v>310341.79210321483</v>
          </cell>
          <cell r="K39">
            <v>356773.40684307844</v>
          </cell>
          <cell r="L39">
            <v>376047.35049865564</v>
          </cell>
          <cell r="M39">
            <v>378432.97174080502</v>
          </cell>
          <cell r="N39">
            <v>384970.03786755132</v>
          </cell>
          <cell r="O39">
            <v>413435.79555741046</v>
          </cell>
          <cell r="P39">
            <v>370493.21682944649</v>
          </cell>
          <cell r="Q39">
            <v>345967.74853253394</v>
          </cell>
          <cell r="R39">
            <v>4380203.7795337318</v>
          </cell>
        </row>
        <row r="40">
          <cell r="A40" t="str">
            <v>P14 Total</v>
          </cell>
          <cell r="B40"/>
          <cell r="C40"/>
          <cell r="D40"/>
          <cell r="E40"/>
          <cell r="F40">
            <v>363965.59998319478</v>
          </cell>
          <cell r="G40">
            <v>398290.45846880792</v>
          </cell>
          <cell r="H40">
            <v>353334.21577033639</v>
          </cell>
          <cell r="I40">
            <v>328151.18533869658</v>
          </cell>
          <cell r="J40">
            <v>310341.79210321483</v>
          </cell>
          <cell r="K40">
            <v>356773.40684307844</v>
          </cell>
          <cell r="L40">
            <v>376047.35049865564</v>
          </cell>
          <cell r="M40">
            <v>378432.97174080502</v>
          </cell>
          <cell r="N40">
            <v>384970.03786755132</v>
          </cell>
          <cell r="O40">
            <v>413435.79555741046</v>
          </cell>
          <cell r="P40">
            <v>370493.21682944649</v>
          </cell>
          <cell r="Q40">
            <v>345967.74853253394</v>
          </cell>
          <cell r="R40">
            <v>4380203.7795337318</v>
          </cell>
        </row>
        <row r="41">
          <cell r="A41" t="str">
            <v>P15</v>
          </cell>
          <cell r="B41" t="str">
            <v>Chemicals</v>
          </cell>
          <cell r="C41">
            <v>51800000</v>
          </cell>
          <cell r="D41" t="str">
            <v>Chemicals</v>
          </cell>
          <cell r="E41" t="str">
            <v>618.3</v>
          </cell>
          <cell r="F41">
            <v>228733.13426351454</v>
          </cell>
          <cell r="G41">
            <v>238523.85184562692</v>
          </cell>
          <cell r="H41">
            <v>194446.27626302352</v>
          </cell>
          <cell r="I41">
            <v>201236.64820648526</v>
          </cell>
          <cell r="J41">
            <v>137370.84754190544</v>
          </cell>
          <cell r="K41">
            <v>147597.62097690601</v>
          </cell>
          <cell r="L41">
            <v>116942.29663272422</v>
          </cell>
          <cell r="M41">
            <v>100029.47371489648</v>
          </cell>
          <cell r="N41">
            <v>154833.24496444105</v>
          </cell>
          <cell r="O41">
            <v>193362.33569990608</v>
          </cell>
          <cell r="P41">
            <v>209138.99730287815</v>
          </cell>
          <cell r="Q41">
            <v>213481.35469122429</v>
          </cell>
          <cell r="R41">
            <v>2135696.0821035318</v>
          </cell>
        </row>
        <row r="42">
          <cell r="A42" t="str">
            <v>P15 Total</v>
          </cell>
          <cell r="B42"/>
          <cell r="C42"/>
          <cell r="D42"/>
          <cell r="E42"/>
          <cell r="F42">
            <v>228733.13426351454</v>
          </cell>
          <cell r="G42">
            <v>238523.85184562692</v>
          </cell>
          <cell r="H42">
            <v>194446.27626302352</v>
          </cell>
          <cell r="I42">
            <v>201236.64820648526</v>
          </cell>
          <cell r="J42">
            <v>137370.84754190544</v>
          </cell>
          <cell r="K42">
            <v>147597.62097690601</v>
          </cell>
          <cell r="L42">
            <v>116942.29663272422</v>
          </cell>
          <cell r="M42">
            <v>100029.47371489648</v>
          </cell>
          <cell r="N42">
            <v>154833.24496444105</v>
          </cell>
          <cell r="O42">
            <v>193362.33569990608</v>
          </cell>
          <cell r="P42">
            <v>209138.99730287815</v>
          </cell>
          <cell r="Q42">
            <v>213481.35469122429</v>
          </cell>
          <cell r="R42">
            <v>2135696.0821035318</v>
          </cell>
        </row>
        <row r="43">
          <cell r="A43" t="str">
            <v>P16</v>
          </cell>
          <cell r="B43" t="str">
            <v>Waste disposal</v>
          </cell>
          <cell r="C43">
            <v>51110000</v>
          </cell>
          <cell r="D43" t="str">
            <v>Waste Disposal</v>
          </cell>
          <cell r="E43" t="str">
            <v>675.3</v>
          </cell>
          <cell r="F43">
            <v>36306</v>
          </cell>
          <cell r="G43">
            <v>37806</v>
          </cell>
          <cell r="H43">
            <v>36070</v>
          </cell>
          <cell r="I43">
            <v>39159</v>
          </cell>
          <cell r="J43">
            <v>36391</v>
          </cell>
          <cell r="K43">
            <v>36047</v>
          </cell>
          <cell r="L43">
            <v>26740</v>
          </cell>
          <cell r="M43">
            <v>25535</v>
          </cell>
          <cell r="N43">
            <v>25327</v>
          </cell>
          <cell r="O43">
            <v>25696</v>
          </cell>
          <cell r="P43">
            <v>27291</v>
          </cell>
          <cell r="Q43">
            <v>26749</v>
          </cell>
          <cell r="R43">
            <v>379117</v>
          </cell>
        </row>
        <row r="44">
          <cell r="A44" t="str">
            <v>P16</v>
          </cell>
          <cell r="B44" t="str">
            <v>Waste disposal</v>
          </cell>
          <cell r="C44">
            <v>51120000</v>
          </cell>
          <cell r="D44" t="str">
            <v>Amort Waste Disposal</v>
          </cell>
          <cell r="E44" t="str">
            <v>675.3</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P16 Total</v>
          </cell>
          <cell r="B45"/>
          <cell r="C45"/>
          <cell r="D45"/>
          <cell r="E45"/>
          <cell r="F45">
            <v>36306</v>
          </cell>
          <cell r="G45">
            <v>37806</v>
          </cell>
          <cell r="H45">
            <v>36070</v>
          </cell>
          <cell r="I45">
            <v>39159</v>
          </cell>
          <cell r="J45">
            <v>36391</v>
          </cell>
          <cell r="K45">
            <v>36047</v>
          </cell>
          <cell r="L45">
            <v>26740</v>
          </cell>
          <cell r="M45">
            <v>25535</v>
          </cell>
          <cell r="N45">
            <v>25327</v>
          </cell>
          <cell r="O45">
            <v>25696</v>
          </cell>
          <cell r="P45">
            <v>27291</v>
          </cell>
          <cell r="Q45">
            <v>26749</v>
          </cell>
          <cell r="R45">
            <v>379117</v>
          </cell>
        </row>
        <row r="46">
          <cell r="A46" t="str">
            <v>P17</v>
          </cell>
          <cell r="B46" t="str">
            <v>Salaries and wages</v>
          </cell>
          <cell r="C46">
            <v>50100000</v>
          </cell>
          <cell r="D46" t="str">
            <v>Labor Expense</v>
          </cell>
          <cell r="E46" t="str">
            <v>601.8</v>
          </cell>
          <cell r="F46">
            <v>816443</v>
          </cell>
          <cell r="G46">
            <v>780946</v>
          </cell>
          <cell r="H46">
            <v>745448</v>
          </cell>
          <cell r="I46">
            <v>816443</v>
          </cell>
          <cell r="J46">
            <v>754427</v>
          </cell>
          <cell r="K46">
            <v>790352</v>
          </cell>
          <cell r="L46">
            <v>691080</v>
          </cell>
          <cell r="M46">
            <v>605741</v>
          </cell>
          <cell r="N46">
            <v>637940</v>
          </cell>
          <cell r="O46">
            <v>671643</v>
          </cell>
          <cell r="P46">
            <v>700881</v>
          </cell>
          <cell r="Q46">
            <v>618369</v>
          </cell>
          <cell r="R46">
            <v>8629713</v>
          </cell>
        </row>
        <row r="47">
          <cell r="A47" t="str">
            <v>P17</v>
          </cell>
          <cell r="B47" t="str">
            <v>Salaries and wages</v>
          </cell>
          <cell r="C47">
            <v>50109900</v>
          </cell>
          <cell r="D47" t="str">
            <v>Labor Cap Credits</v>
          </cell>
          <cell r="E47" t="str">
            <v>601.8</v>
          </cell>
          <cell r="F47">
            <v>-222148</v>
          </cell>
          <cell r="G47">
            <v>-212489</v>
          </cell>
          <cell r="H47">
            <v>-202831</v>
          </cell>
          <cell r="I47">
            <v>-222148</v>
          </cell>
          <cell r="J47">
            <v>-204045</v>
          </cell>
          <cell r="K47">
            <v>-213762</v>
          </cell>
          <cell r="L47">
            <v>0</v>
          </cell>
          <cell r="M47">
            <v>0</v>
          </cell>
          <cell r="N47">
            <v>0</v>
          </cell>
          <cell r="O47">
            <v>0</v>
          </cell>
          <cell r="P47">
            <v>0</v>
          </cell>
          <cell r="Q47">
            <v>0</v>
          </cell>
          <cell r="R47">
            <v>-1277423</v>
          </cell>
        </row>
        <row r="48">
          <cell r="A48" t="str">
            <v>P17</v>
          </cell>
          <cell r="B48" t="str">
            <v>Salaries and wages</v>
          </cell>
          <cell r="C48">
            <v>50110000</v>
          </cell>
          <cell r="D48" t="str">
            <v>Labor NS OT -Natural</v>
          </cell>
          <cell r="E48" t="str">
            <v>601.8</v>
          </cell>
          <cell r="F48">
            <v>54272</v>
          </cell>
          <cell r="G48">
            <v>53599</v>
          </cell>
          <cell r="H48">
            <v>53381</v>
          </cell>
          <cell r="I48">
            <v>54272</v>
          </cell>
          <cell r="J48">
            <v>54404</v>
          </cell>
          <cell r="K48">
            <v>54621</v>
          </cell>
          <cell r="L48">
            <v>0</v>
          </cell>
          <cell r="M48">
            <v>0</v>
          </cell>
          <cell r="N48">
            <v>0</v>
          </cell>
          <cell r="O48">
            <v>0</v>
          </cell>
          <cell r="P48">
            <v>0</v>
          </cell>
          <cell r="Q48">
            <v>0</v>
          </cell>
          <cell r="R48">
            <v>324549</v>
          </cell>
        </row>
        <row r="49">
          <cell r="A49" t="str">
            <v>P17</v>
          </cell>
          <cell r="B49" t="str">
            <v>Salaries and wages</v>
          </cell>
          <cell r="C49">
            <v>50119900</v>
          </cell>
          <cell r="D49" t="str">
            <v>LaborNSOT CapCredits</v>
          </cell>
          <cell r="E49" t="str">
            <v>601.8</v>
          </cell>
          <cell r="F49">
            <v>-22006</v>
          </cell>
          <cell r="G49">
            <v>-20891</v>
          </cell>
          <cell r="H49">
            <v>-20891</v>
          </cell>
          <cell r="I49">
            <v>-22006</v>
          </cell>
          <cell r="J49">
            <v>-21017</v>
          </cell>
          <cell r="K49">
            <v>-21250</v>
          </cell>
          <cell r="L49">
            <v>0</v>
          </cell>
          <cell r="M49">
            <v>0</v>
          </cell>
          <cell r="N49">
            <v>0</v>
          </cell>
          <cell r="O49">
            <v>0</v>
          </cell>
          <cell r="P49">
            <v>0</v>
          </cell>
          <cell r="Q49">
            <v>0</v>
          </cell>
          <cell r="R49">
            <v>-128061</v>
          </cell>
        </row>
        <row r="50">
          <cell r="A50" t="str">
            <v>P17</v>
          </cell>
          <cell r="B50" t="str">
            <v>Salaries and wages</v>
          </cell>
          <cell r="C50">
            <v>50171000</v>
          </cell>
          <cell r="D50" t="str">
            <v>Annual Incent Plan</v>
          </cell>
          <cell r="E50" t="str">
            <v>601.8</v>
          </cell>
          <cell r="F50">
            <v>49697</v>
          </cell>
          <cell r="G50">
            <v>47537</v>
          </cell>
          <cell r="H50">
            <v>45376</v>
          </cell>
          <cell r="I50">
            <v>49697</v>
          </cell>
          <cell r="J50">
            <v>45644</v>
          </cell>
          <cell r="K50">
            <v>47818</v>
          </cell>
          <cell r="L50">
            <v>0</v>
          </cell>
          <cell r="M50">
            <v>0</v>
          </cell>
          <cell r="N50">
            <v>0</v>
          </cell>
          <cell r="O50">
            <v>0</v>
          </cell>
          <cell r="P50">
            <v>0</v>
          </cell>
          <cell r="Q50">
            <v>0</v>
          </cell>
          <cell r="R50">
            <v>285769</v>
          </cell>
        </row>
        <row r="51">
          <cell r="A51" t="str">
            <v>P17</v>
          </cell>
          <cell r="B51" t="str">
            <v>Salaries and wages</v>
          </cell>
          <cell r="C51">
            <v>50171800</v>
          </cell>
          <cell r="D51" t="str">
            <v>Comp Exp-RSU's</v>
          </cell>
          <cell r="E51" t="str">
            <v>601.8</v>
          </cell>
          <cell r="F51">
            <v>0</v>
          </cell>
          <cell r="G51">
            <v>0</v>
          </cell>
          <cell r="H51">
            <v>4431</v>
          </cell>
          <cell r="I51">
            <v>0</v>
          </cell>
          <cell r="J51">
            <v>0</v>
          </cell>
          <cell r="K51">
            <v>4431</v>
          </cell>
          <cell r="L51">
            <v>0</v>
          </cell>
          <cell r="M51">
            <v>0</v>
          </cell>
          <cell r="N51">
            <v>0</v>
          </cell>
          <cell r="O51">
            <v>0</v>
          </cell>
          <cell r="P51">
            <v>0</v>
          </cell>
          <cell r="Q51">
            <v>0</v>
          </cell>
          <cell r="R51">
            <v>8862</v>
          </cell>
        </row>
        <row r="52">
          <cell r="A52" t="str">
            <v>P17 Total</v>
          </cell>
          <cell r="B52"/>
          <cell r="C52"/>
          <cell r="D52"/>
          <cell r="E52"/>
          <cell r="F52">
            <v>676258</v>
          </cell>
          <cell r="G52">
            <v>648702</v>
          </cell>
          <cell r="H52">
            <v>624914</v>
          </cell>
          <cell r="I52">
            <v>676258</v>
          </cell>
          <cell r="J52">
            <v>629413</v>
          </cell>
          <cell r="K52">
            <v>662210</v>
          </cell>
          <cell r="L52">
            <v>691080</v>
          </cell>
          <cell r="M52">
            <v>605741</v>
          </cell>
          <cell r="N52">
            <v>637940</v>
          </cell>
          <cell r="O52">
            <v>671643</v>
          </cell>
          <cell r="P52">
            <v>700881</v>
          </cell>
          <cell r="Q52">
            <v>618369</v>
          </cell>
          <cell r="R52">
            <v>7843409</v>
          </cell>
        </row>
        <row r="53">
          <cell r="A53" t="str">
            <v>P18</v>
          </cell>
          <cell r="B53" t="str">
            <v>Pension expense</v>
          </cell>
          <cell r="C53">
            <v>50610000</v>
          </cell>
          <cell r="D53" t="str">
            <v>Pension Expense</v>
          </cell>
          <cell r="E53" t="str">
            <v>604.8</v>
          </cell>
          <cell r="F53">
            <v>40266</v>
          </cell>
          <cell r="G53">
            <v>40266</v>
          </cell>
          <cell r="H53">
            <v>40266</v>
          </cell>
          <cell r="I53">
            <v>40266</v>
          </cell>
          <cell r="J53">
            <v>40266</v>
          </cell>
          <cell r="K53">
            <v>40266</v>
          </cell>
          <cell r="L53">
            <v>31154</v>
          </cell>
          <cell r="M53">
            <v>31154</v>
          </cell>
          <cell r="N53">
            <v>31154</v>
          </cell>
          <cell r="O53">
            <v>31154</v>
          </cell>
          <cell r="P53">
            <v>31154</v>
          </cell>
          <cell r="Q53">
            <v>31154</v>
          </cell>
          <cell r="R53">
            <v>428520</v>
          </cell>
        </row>
        <row r="54">
          <cell r="A54" t="str">
            <v>P18</v>
          </cell>
          <cell r="B54" t="str">
            <v>Pension expense</v>
          </cell>
          <cell r="C54">
            <v>50610100</v>
          </cell>
          <cell r="D54" t="str">
            <v>Pension Cap Credits</v>
          </cell>
          <cell r="E54" t="str">
            <v>604.8</v>
          </cell>
          <cell r="F54">
            <v>-10265</v>
          </cell>
          <cell r="G54">
            <v>-10265</v>
          </cell>
          <cell r="H54">
            <v>-10265</v>
          </cell>
          <cell r="I54">
            <v>-10265</v>
          </cell>
          <cell r="J54">
            <v>-10265</v>
          </cell>
          <cell r="K54">
            <v>-10265</v>
          </cell>
          <cell r="L54">
            <v>0</v>
          </cell>
          <cell r="M54">
            <v>0</v>
          </cell>
          <cell r="N54">
            <v>0</v>
          </cell>
          <cell r="O54">
            <v>0</v>
          </cell>
          <cell r="P54">
            <v>0</v>
          </cell>
          <cell r="Q54">
            <v>0</v>
          </cell>
          <cell r="R54">
            <v>-61590</v>
          </cell>
        </row>
        <row r="55">
          <cell r="A55" t="str">
            <v>P18 Total</v>
          </cell>
          <cell r="B55"/>
          <cell r="C55"/>
          <cell r="D55"/>
          <cell r="E55"/>
          <cell r="F55">
            <v>30001</v>
          </cell>
          <cell r="G55">
            <v>30001</v>
          </cell>
          <cell r="H55">
            <v>30001</v>
          </cell>
          <cell r="I55">
            <v>30001</v>
          </cell>
          <cell r="J55">
            <v>30001</v>
          </cell>
          <cell r="K55">
            <v>30001</v>
          </cell>
          <cell r="L55">
            <v>31154</v>
          </cell>
          <cell r="M55">
            <v>31154</v>
          </cell>
          <cell r="N55">
            <v>31154</v>
          </cell>
          <cell r="O55">
            <v>31154</v>
          </cell>
          <cell r="P55">
            <v>31154</v>
          </cell>
          <cell r="Q55">
            <v>31154</v>
          </cell>
          <cell r="R55">
            <v>366930</v>
          </cell>
        </row>
        <row r="56">
          <cell r="A56" t="str">
            <v>P19</v>
          </cell>
          <cell r="B56" t="str">
            <v>OPEB expense</v>
          </cell>
          <cell r="C56">
            <v>50510000</v>
          </cell>
          <cell r="D56" t="str">
            <v>PBOP Expense</v>
          </cell>
          <cell r="E56" t="str">
            <v>604.8</v>
          </cell>
          <cell r="F56">
            <v>7844</v>
          </cell>
          <cell r="G56">
            <v>7844</v>
          </cell>
          <cell r="H56">
            <v>7844</v>
          </cell>
          <cell r="I56">
            <v>7844</v>
          </cell>
          <cell r="J56">
            <v>7844</v>
          </cell>
          <cell r="K56">
            <v>7844</v>
          </cell>
          <cell r="L56">
            <v>5930</v>
          </cell>
          <cell r="M56">
            <v>5930</v>
          </cell>
          <cell r="N56">
            <v>5930</v>
          </cell>
          <cell r="O56">
            <v>5930</v>
          </cell>
          <cell r="P56">
            <v>5930</v>
          </cell>
          <cell r="Q56">
            <v>5930</v>
          </cell>
          <cell r="R56">
            <v>82644</v>
          </cell>
        </row>
        <row r="57">
          <cell r="A57" t="str">
            <v>P19</v>
          </cell>
          <cell r="B57" t="str">
            <v>OPEB expense</v>
          </cell>
          <cell r="C57">
            <v>50510100</v>
          </cell>
          <cell r="D57" t="str">
            <v>PBOP Cap Credits</v>
          </cell>
          <cell r="E57" t="str">
            <v>604.8</v>
          </cell>
          <cell r="F57">
            <v>-2118</v>
          </cell>
          <cell r="G57">
            <v>-2118</v>
          </cell>
          <cell r="H57">
            <v>-2118</v>
          </cell>
          <cell r="I57">
            <v>-2118</v>
          </cell>
          <cell r="J57">
            <v>-2118</v>
          </cell>
          <cell r="K57">
            <v>-2118</v>
          </cell>
          <cell r="L57">
            <v>0</v>
          </cell>
          <cell r="M57">
            <v>0</v>
          </cell>
          <cell r="N57">
            <v>0</v>
          </cell>
          <cell r="O57">
            <v>0</v>
          </cell>
          <cell r="P57">
            <v>0</v>
          </cell>
          <cell r="Q57">
            <v>0</v>
          </cell>
          <cell r="R57">
            <v>-12708</v>
          </cell>
        </row>
        <row r="58">
          <cell r="A58" t="str">
            <v>P19 Total</v>
          </cell>
          <cell r="B58"/>
          <cell r="C58"/>
          <cell r="D58"/>
          <cell r="E58"/>
          <cell r="F58">
            <v>5726</v>
          </cell>
          <cell r="G58">
            <v>5726</v>
          </cell>
          <cell r="H58">
            <v>5726</v>
          </cell>
          <cell r="I58">
            <v>5726</v>
          </cell>
          <cell r="J58">
            <v>5726</v>
          </cell>
          <cell r="K58">
            <v>5726</v>
          </cell>
          <cell r="L58">
            <v>5930</v>
          </cell>
          <cell r="M58">
            <v>5930</v>
          </cell>
          <cell r="N58">
            <v>5930</v>
          </cell>
          <cell r="O58">
            <v>5930</v>
          </cell>
          <cell r="P58">
            <v>5930</v>
          </cell>
          <cell r="Q58">
            <v>5930</v>
          </cell>
          <cell r="R58">
            <v>69936</v>
          </cell>
        </row>
        <row r="59">
          <cell r="A59" t="str">
            <v>P20</v>
          </cell>
          <cell r="B59" t="str">
            <v>Group insurance expense</v>
          </cell>
          <cell r="C59">
            <v>50550000</v>
          </cell>
          <cell r="D59" t="str">
            <v>Group Insur Expense</v>
          </cell>
          <cell r="E59" t="str">
            <v>604.8</v>
          </cell>
          <cell r="F59">
            <v>169522</v>
          </cell>
          <cell r="G59">
            <v>169522</v>
          </cell>
          <cell r="H59">
            <v>169522</v>
          </cell>
          <cell r="I59">
            <v>169522</v>
          </cell>
          <cell r="J59">
            <v>169518</v>
          </cell>
          <cell r="K59">
            <v>169518</v>
          </cell>
          <cell r="L59">
            <v>130854</v>
          </cell>
          <cell r="M59">
            <v>130336</v>
          </cell>
          <cell r="N59">
            <v>130224</v>
          </cell>
          <cell r="O59">
            <v>130224</v>
          </cell>
          <cell r="P59">
            <v>130224</v>
          </cell>
          <cell r="Q59">
            <v>130742</v>
          </cell>
          <cell r="R59">
            <v>1799728</v>
          </cell>
        </row>
        <row r="60">
          <cell r="A60" t="str">
            <v>P20</v>
          </cell>
          <cell r="B60" t="str">
            <v>Group insurance expense</v>
          </cell>
          <cell r="C60">
            <v>50550100</v>
          </cell>
          <cell r="D60" t="str">
            <v>Group Ins Cap Credts</v>
          </cell>
          <cell r="E60" t="str">
            <v>604.8</v>
          </cell>
          <cell r="F60">
            <v>-44831</v>
          </cell>
          <cell r="G60">
            <v>-44831</v>
          </cell>
          <cell r="H60">
            <v>-44831</v>
          </cell>
          <cell r="I60">
            <v>-44831</v>
          </cell>
          <cell r="J60">
            <v>-44719</v>
          </cell>
          <cell r="K60">
            <v>-44719</v>
          </cell>
          <cell r="L60">
            <v>0</v>
          </cell>
          <cell r="M60">
            <v>0</v>
          </cell>
          <cell r="N60">
            <v>0</v>
          </cell>
          <cell r="O60">
            <v>0</v>
          </cell>
          <cell r="P60">
            <v>0</v>
          </cell>
          <cell r="Q60">
            <v>0</v>
          </cell>
          <cell r="R60">
            <v>-268762</v>
          </cell>
        </row>
        <row r="61">
          <cell r="A61" t="str">
            <v>P20</v>
          </cell>
          <cell r="B61" t="str">
            <v>Group insurance expense</v>
          </cell>
          <cell r="C61">
            <v>50560000</v>
          </cell>
          <cell r="D61" t="str">
            <v>Health Savings Account Expense</v>
          </cell>
          <cell r="E61" t="str">
            <v>604.8</v>
          </cell>
          <cell r="F61">
            <v>0</v>
          </cell>
          <cell r="G61">
            <v>0</v>
          </cell>
          <cell r="H61">
            <v>0</v>
          </cell>
          <cell r="I61">
            <v>0</v>
          </cell>
          <cell r="J61">
            <v>500</v>
          </cell>
          <cell r="K61">
            <v>0</v>
          </cell>
          <cell r="L61">
            <v>0</v>
          </cell>
          <cell r="M61">
            <v>0</v>
          </cell>
          <cell r="N61">
            <v>0</v>
          </cell>
          <cell r="O61">
            <v>0</v>
          </cell>
          <cell r="P61">
            <v>0</v>
          </cell>
          <cell r="Q61">
            <v>0</v>
          </cell>
          <cell r="R61">
            <v>500</v>
          </cell>
        </row>
        <row r="62">
          <cell r="A62" t="str">
            <v>P20 Total</v>
          </cell>
          <cell r="B62"/>
          <cell r="C62"/>
          <cell r="D62"/>
          <cell r="E62"/>
          <cell r="F62">
            <v>124691</v>
          </cell>
          <cell r="G62">
            <v>124691</v>
          </cell>
          <cell r="H62">
            <v>124691</v>
          </cell>
          <cell r="I62">
            <v>124691</v>
          </cell>
          <cell r="J62">
            <v>125299</v>
          </cell>
          <cell r="K62">
            <v>124799</v>
          </cell>
          <cell r="L62">
            <v>130854</v>
          </cell>
          <cell r="M62">
            <v>130336</v>
          </cell>
          <cell r="N62">
            <v>130224</v>
          </cell>
          <cell r="O62">
            <v>130224</v>
          </cell>
          <cell r="P62">
            <v>130224</v>
          </cell>
          <cell r="Q62">
            <v>130742</v>
          </cell>
          <cell r="R62">
            <v>1531466</v>
          </cell>
        </row>
        <row r="63">
          <cell r="A63" t="str">
            <v>P21</v>
          </cell>
          <cell r="B63" t="str">
            <v>Other benefits</v>
          </cell>
          <cell r="C63">
            <v>50421000</v>
          </cell>
          <cell r="D63" t="str">
            <v>401k Expense</v>
          </cell>
          <cell r="E63" t="str">
            <v>604.8</v>
          </cell>
          <cell r="F63">
            <v>22425</v>
          </cell>
          <cell r="G63">
            <v>21494</v>
          </cell>
          <cell r="H63">
            <v>20574</v>
          </cell>
          <cell r="I63">
            <v>22425</v>
          </cell>
          <cell r="J63">
            <v>20833</v>
          </cell>
          <cell r="K63">
            <v>21763</v>
          </cell>
          <cell r="L63">
            <v>44409</v>
          </cell>
          <cell r="M63">
            <v>47674</v>
          </cell>
          <cell r="N63">
            <v>58805</v>
          </cell>
          <cell r="O63">
            <v>52936</v>
          </cell>
          <cell r="P63">
            <v>46680</v>
          </cell>
          <cell r="Q63">
            <v>41636</v>
          </cell>
          <cell r="R63">
            <v>421654</v>
          </cell>
        </row>
        <row r="64">
          <cell r="A64" t="str">
            <v>P21</v>
          </cell>
          <cell r="B64" t="str">
            <v>Other benefits</v>
          </cell>
          <cell r="C64">
            <v>50421100</v>
          </cell>
          <cell r="D64" t="str">
            <v>401k Exp Cap Credits</v>
          </cell>
          <cell r="E64" t="str">
            <v>604.8</v>
          </cell>
          <cell r="F64">
            <v>-5886</v>
          </cell>
          <cell r="G64">
            <v>-5619</v>
          </cell>
          <cell r="H64">
            <v>-5375</v>
          </cell>
          <cell r="I64">
            <v>-5886</v>
          </cell>
          <cell r="J64">
            <v>-5410</v>
          </cell>
          <cell r="K64">
            <v>-5660</v>
          </cell>
          <cell r="L64">
            <v>0</v>
          </cell>
          <cell r="M64">
            <v>0</v>
          </cell>
          <cell r="N64">
            <v>0</v>
          </cell>
          <cell r="O64">
            <v>0</v>
          </cell>
          <cell r="P64">
            <v>0</v>
          </cell>
          <cell r="Q64">
            <v>0</v>
          </cell>
          <cell r="R64">
            <v>-33836</v>
          </cell>
        </row>
        <row r="65">
          <cell r="A65" t="str">
            <v>P21</v>
          </cell>
          <cell r="B65" t="str">
            <v>Other benefits</v>
          </cell>
          <cell r="C65">
            <v>50422000</v>
          </cell>
          <cell r="D65" t="str">
            <v>DCP Expense</v>
          </cell>
          <cell r="E65" t="str">
            <v>604.8</v>
          </cell>
          <cell r="F65">
            <v>28740</v>
          </cell>
          <cell r="G65">
            <v>27491</v>
          </cell>
          <cell r="H65">
            <v>26241</v>
          </cell>
          <cell r="I65">
            <v>28740</v>
          </cell>
          <cell r="J65">
            <v>26567</v>
          </cell>
          <cell r="K65">
            <v>27832</v>
          </cell>
          <cell r="L65">
            <v>0</v>
          </cell>
          <cell r="M65">
            <v>0</v>
          </cell>
          <cell r="N65">
            <v>0</v>
          </cell>
          <cell r="O65">
            <v>0</v>
          </cell>
          <cell r="P65">
            <v>0</v>
          </cell>
          <cell r="Q65">
            <v>0</v>
          </cell>
          <cell r="R65">
            <v>165611</v>
          </cell>
        </row>
        <row r="66">
          <cell r="A66" t="str">
            <v>P21</v>
          </cell>
          <cell r="B66" t="str">
            <v>Other benefits</v>
          </cell>
          <cell r="C66">
            <v>50422100</v>
          </cell>
          <cell r="D66" t="str">
            <v>DCP Exp Cap Credits</v>
          </cell>
          <cell r="E66" t="str">
            <v>604.8</v>
          </cell>
          <cell r="F66">
            <v>-7080</v>
          </cell>
          <cell r="G66">
            <v>-6772</v>
          </cell>
          <cell r="H66">
            <v>-6464</v>
          </cell>
          <cell r="I66">
            <v>-7080</v>
          </cell>
          <cell r="J66">
            <v>-6511</v>
          </cell>
          <cell r="K66">
            <v>-6821</v>
          </cell>
          <cell r="L66">
            <v>0</v>
          </cell>
          <cell r="M66">
            <v>0</v>
          </cell>
          <cell r="N66">
            <v>0</v>
          </cell>
          <cell r="O66">
            <v>0</v>
          </cell>
          <cell r="P66">
            <v>0</v>
          </cell>
          <cell r="Q66">
            <v>0</v>
          </cell>
          <cell r="R66">
            <v>-40728</v>
          </cell>
        </row>
        <row r="67">
          <cell r="A67" t="str">
            <v>P21</v>
          </cell>
          <cell r="B67" t="str">
            <v>Other benefits</v>
          </cell>
          <cell r="C67">
            <v>50423000</v>
          </cell>
          <cell r="D67" t="str">
            <v>ESPP Expense</v>
          </cell>
          <cell r="E67" t="str">
            <v>604.8</v>
          </cell>
          <cell r="F67">
            <v>0</v>
          </cell>
          <cell r="G67">
            <v>2500</v>
          </cell>
          <cell r="H67">
            <v>0</v>
          </cell>
          <cell r="I67">
            <v>0</v>
          </cell>
          <cell r="J67">
            <v>2500</v>
          </cell>
          <cell r="K67">
            <v>2000</v>
          </cell>
          <cell r="L67">
            <v>0</v>
          </cell>
          <cell r="M67">
            <v>0</v>
          </cell>
          <cell r="N67">
            <v>0</v>
          </cell>
          <cell r="O67">
            <v>0</v>
          </cell>
          <cell r="P67">
            <v>0</v>
          </cell>
          <cell r="Q67">
            <v>0</v>
          </cell>
          <cell r="R67">
            <v>7000</v>
          </cell>
        </row>
        <row r="68">
          <cell r="A68" t="str">
            <v>P21</v>
          </cell>
          <cell r="B68" t="str">
            <v>Other benefits</v>
          </cell>
          <cell r="C68">
            <v>50426000</v>
          </cell>
          <cell r="D68" t="str">
            <v>Retiree Medical Exp</v>
          </cell>
          <cell r="E68" t="str">
            <v>604.8</v>
          </cell>
          <cell r="F68">
            <v>1839</v>
          </cell>
          <cell r="G68">
            <v>2045</v>
          </cell>
          <cell r="H68">
            <v>492</v>
          </cell>
          <cell r="I68">
            <v>1510</v>
          </cell>
          <cell r="J68">
            <v>1774</v>
          </cell>
          <cell r="K68">
            <v>1591</v>
          </cell>
          <cell r="L68">
            <v>0</v>
          </cell>
          <cell r="M68">
            <v>0</v>
          </cell>
          <cell r="N68">
            <v>0</v>
          </cell>
          <cell r="O68">
            <v>0</v>
          </cell>
          <cell r="P68">
            <v>0</v>
          </cell>
          <cell r="Q68">
            <v>0</v>
          </cell>
          <cell r="R68">
            <v>9251</v>
          </cell>
        </row>
        <row r="69">
          <cell r="A69" t="str">
            <v>P21</v>
          </cell>
          <cell r="B69" t="str">
            <v>Other benefits</v>
          </cell>
          <cell r="C69">
            <v>50426100</v>
          </cell>
          <cell r="D69" t="str">
            <v>Retiree Medical Cap Cr</v>
          </cell>
          <cell r="E69" t="str">
            <v>604.8</v>
          </cell>
          <cell r="F69">
            <v>-372</v>
          </cell>
          <cell r="G69">
            <v>-489</v>
          </cell>
          <cell r="H69">
            <v>-137</v>
          </cell>
          <cell r="I69">
            <v>-254</v>
          </cell>
          <cell r="J69">
            <v>-404</v>
          </cell>
          <cell r="K69">
            <v>-362</v>
          </cell>
          <cell r="L69">
            <v>0</v>
          </cell>
          <cell r="M69">
            <v>0</v>
          </cell>
          <cell r="N69">
            <v>0</v>
          </cell>
          <cell r="O69">
            <v>0</v>
          </cell>
          <cell r="P69">
            <v>0</v>
          </cell>
          <cell r="Q69">
            <v>0</v>
          </cell>
          <cell r="R69">
            <v>-2018</v>
          </cell>
        </row>
        <row r="70">
          <cell r="A70" t="str">
            <v>P21</v>
          </cell>
          <cell r="B70" t="str">
            <v>Other benefits</v>
          </cell>
          <cell r="C70">
            <v>50450000</v>
          </cell>
          <cell r="D70" t="str">
            <v>Other Welfare</v>
          </cell>
          <cell r="E70" t="str">
            <v>604.8</v>
          </cell>
          <cell r="F70">
            <v>2280</v>
          </cell>
          <cell r="G70">
            <v>2480</v>
          </cell>
          <cell r="H70">
            <v>3280</v>
          </cell>
          <cell r="I70">
            <v>10280</v>
          </cell>
          <cell r="J70">
            <v>2280</v>
          </cell>
          <cell r="K70">
            <v>3280</v>
          </cell>
          <cell r="L70">
            <v>0</v>
          </cell>
          <cell r="M70">
            <v>0</v>
          </cell>
          <cell r="N70">
            <v>0</v>
          </cell>
          <cell r="O70">
            <v>0</v>
          </cell>
          <cell r="P70">
            <v>0</v>
          </cell>
          <cell r="Q70">
            <v>0</v>
          </cell>
          <cell r="R70">
            <v>23880</v>
          </cell>
        </row>
        <row r="71">
          <cell r="A71" t="str">
            <v>P21</v>
          </cell>
          <cell r="B71" t="str">
            <v>Other benefits</v>
          </cell>
          <cell r="C71">
            <v>50451000</v>
          </cell>
          <cell r="D71" t="str">
            <v>Employee Awards</v>
          </cell>
          <cell r="E71" t="str">
            <v>604.8</v>
          </cell>
          <cell r="F71">
            <v>2050</v>
          </cell>
          <cell r="G71">
            <v>1632</v>
          </cell>
          <cell r="H71">
            <v>410</v>
          </cell>
          <cell r="I71">
            <v>123</v>
          </cell>
          <cell r="J71">
            <v>4087</v>
          </cell>
          <cell r="K71">
            <v>1026</v>
          </cell>
          <cell r="L71">
            <v>0</v>
          </cell>
          <cell r="M71">
            <v>0</v>
          </cell>
          <cell r="N71">
            <v>0</v>
          </cell>
          <cell r="O71">
            <v>0</v>
          </cell>
          <cell r="P71">
            <v>0</v>
          </cell>
          <cell r="Q71">
            <v>0</v>
          </cell>
          <cell r="R71">
            <v>9328</v>
          </cell>
        </row>
        <row r="72">
          <cell r="A72" t="str">
            <v>P21</v>
          </cell>
          <cell r="B72" t="str">
            <v>Other benefits</v>
          </cell>
          <cell r="C72">
            <v>50452000</v>
          </cell>
          <cell r="D72" t="str">
            <v>Emp Physical Exams</v>
          </cell>
          <cell r="E72" t="str">
            <v>604.8</v>
          </cell>
          <cell r="F72">
            <v>142</v>
          </cell>
          <cell r="G72">
            <v>1126</v>
          </cell>
          <cell r="H72">
            <v>167</v>
          </cell>
          <cell r="I72">
            <v>442</v>
          </cell>
          <cell r="J72">
            <v>292</v>
          </cell>
          <cell r="K72">
            <v>662</v>
          </cell>
          <cell r="L72">
            <v>0</v>
          </cell>
          <cell r="M72">
            <v>0</v>
          </cell>
          <cell r="N72">
            <v>0</v>
          </cell>
          <cell r="O72">
            <v>0</v>
          </cell>
          <cell r="P72">
            <v>0</v>
          </cell>
          <cell r="Q72">
            <v>0</v>
          </cell>
          <cell r="R72">
            <v>2831</v>
          </cell>
        </row>
        <row r="73">
          <cell r="A73" t="str">
            <v>P21</v>
          </cell>
          <cell r="B73" t="str">
            <v>Other benefits</v>
          </cell>
          <cell r="C73">
            <v>50454000</v>
          </cell>
          <cell r="D73" t="str">
            <v>Safety Incent Awards</v>
          </cell>
          <cell r="E73" t="str">
            <v>604.8</v>
          </cell>
          <cell r="F73">
            <v>0</v>
          </cell>
          <cell r="G73">
            <v>0</v>
          </cell>
          <cell r="H73">
            <v>0</v>
          </cell>
          <cell r="I73">
            <v>0</v>
          </cell>
          <cell r="J73">
            <v>0</v>
          </cell>
          <cell r="K73">
            <v>0</v>
          </cell>
          <cell r="L73">
            <v>0</v>
          </cell>
          <cell r="M73">
            <v>0</v>
          </cell>
          <cell r="N73">
            <v>0</v>
          </cell>
          <cell r="O73">
            <v>0</v>
          </cell>
          <cell r="P73">
            <v>0</v>
          </cell>
          <cell r="Q73">
            <v>0</v>
          </cell>
          <cell r="R73">
            <v>0</v>
          </cell>
        </row>
        <row r="74">
          <cell r="A74" t="str">
            <v>P21</v>
          </cell>
          <cell r="B74" t="str">
            <v>Other benefits</v>
          </cell>
          <cell r="C74">
            <v>50456000</v>
          </cell>
          <cell r="D74" t="str">
            <v>Tuition Aid</v>
          </cell>
          <cell r="E74" t="str">
            <v>604.8</v>
          </cell>
          <cell r="F74">
            <v>0</v>
          </cell>
          <cell r="G74">
            <v>3500</v>
          </cell>
          <cell r="H74">
            <v>5500</v>
          </cell>
          <cell r="I74">
            <v>6000</v>
          </cell>
          <cell r="J74">
            <v>0</v>
          </cell>
          <cell r="K74">
            <v>3500</v>
          </cell>
          <cell r="L74">
            <v>0</v>
          </cell>
          <cell r="M74">
            <v>0</v>
          </cell>
          <cell r="N74">
            <v>0</v>
          </cell>
          <cell r="O74">
            <v>0</v>
          </cell>
          <cell r="P74">
            <v>0</v>
          </cell>
          <cell r="Q74">
            <v>0</v>
          </cell>
          <cell r="R74">
            <v>18500</v>
          </cell>
        </row>
        <row r="75">
          <cell r="A75" t="str">
            <v>P21</v>
          </cell>
          <cell r="B75" t="str">
            <v>Other benefits</v>
          </cell>
          <cell r="C75">
            <v>50457000</v>
          </cell>
          <cell r="D75" t="str">
            <v>Training</v>
          </cell>
          <cell r="E75" t="str">
            <v>604.8</v>
          </cell>
          <cell r="F75">
            <v>167</v>
          </cell>
          <cell r="G75">
            <v>3783</v>
          </cell>
          <cell r="H75">
            <v>624</v>
          </cell>
          <cell r="I75">
            <v>731</v>
          </cell>
          <cell r="J75">
            <v>1291</v>
          </cell>
          <cell r="K75">
            <v>267</v>
          </cell>
          <cell r="L75">
            <v>0</v>
          </cell>
          <cell r="M75">
            <v>0</v>
          </cell>
          <cell r="N75">
            <v>0</v>
          </cell>
          <cell r="O75">
            <v>0</v>
          </cell>
          <cell r="P75">
            <v>0</v>
          </cell>
          <cell r="Q75">
            <v>0</v>
          </cell>
          <cell r="R75">
            <v>6863</v>
          </cell>
        </row>
        <row r="76">
          <cell r="A76" t="str">
            <v>P21 Total</v>
          </cell>
          <cell r="B76"/>
          <cell r="C76"/>
          <cell r="D76"/>
          <cell r="E76"/>
          <cell r="F76">
            <v>44305</v>
          </cell>
          <cell r="G76">
            <v>53171</v>
          </cell>
          <cell r="H76">
            <v>45312</v>
          </cell>
          <cell r="I76">
            <v>57031</v>
          </cell>
          <cell r="J76">
            <v>47299</v>
          </cell>
          <cell r="K76">
            <v>49078</v>
          </cell>
          <cell r="L76">
            <v>44409</v>
          </cell>
          <cell r="M76">
            <v>47674</v>
          </cell>
          <cell r="N76">
            <v>58805</v>
          </cell>
          <cell r="O76">
            <v>52936</v>
          </cell>
          <cell r="P76">
            <v>46680</v>
          </cell>
          <cell r="Q76">
            <v>41636</v>
          </cell>
          <cell r="R76">
            <v>588336</v>
          </cell>
        </row>
        <row r="77">
          <cell r="A77" t="str">
            <v>P22</v>
          </cell>
          <cell r="B77" t="str">
            <v>Service Company Costs</v>
          </cell>
          <cell r="C77">
            <v>53401000</v>
          </cell>
          <cell r="D77" t="str">
            <v>AWWSC Labor OPEX</v>
          </cell>
          <cell r="E77" t="str">
            <v>634.8</v>
          </cell>
          <cell r="F77">
            <v>408888</v>
          </cell>
          <cell r="G77">
            <v>391075</v>
          </cell>
          <cell r="H77">
            <v>490711</v>
          </cell>
          <cell r="I77">
            <v>409328</v>
          </cell>
          <cell r="J77">
            <v>374271</v>
          </cell>
          <cell r="K77">
            <v>509626</v>
          </cell>
          <cell r="L77">
            <v>0</v>
          </cell>
          <cell r="M77">
            <v>0</v>
          </cell>
          <cell r="N77">
            <v>0</v>
          </cell>
          <cell r="O77">
            <v>0</v>
          </cell>
          <cell r="P77">
            <v>0</v>
          </cell>
          <cell r="Q77">
            <v>0</v>
          </cell>
          <cell r="R77">
            <v>2583899</v>
          </cell>
        </row>
        <row r="78">
          <cell r="A78" t="str">
            <v>P22</v>
          </cell>
          <cell r="B78" t="str">
            <v>Service Company Costs</v>
          </cell>
          <cell r="C78">
            <v>53401100</v>
          </cell>
          <cell r="D78" t="str">
            <v>AWWSC Pension OPEX</v>
          </cell>
          <cell r="E78" t="str">
            <v>634.8</v>
          </cell>
          <cell r="F78">
            <v>20040</v>
          </cell>
          <cell r="G78">
            <v>20040</v>
          </cell>
          <cell r="H78">
            <v>20053</v>
          </cell>
          <cell r="I78">
            <v>20053</v>
          </cell>
          <cell r="J78">
            <v>20053</v>
          </cell>
          <cell r="K78">
            <v>20053</v>
          </cell>
          <cell r="L78">
            <v>0</v>
          </cell>
          <cell r="M78">
            <v>0</v>
          </cell>
          <cell r="N78">
            <v>0</v>
          </cell>
          <cell r="O78">
            <v>0</v>
          </cell>
          <cell r="P78">
            <v>0</v>
          </cell>
          <cell r="Q78">
            <v>0</v>
          </cell>
          <cell r="R78">
            <v>120292</v>
          </cell>
        </row>
        <row r="79">
          <cell r="A79" t="str">
            <v>P22</v>
          </cell>
          <cell r="B79" t="str">
            <v>Service Company Costs</v>
          </cell>
          <cell r="C79">
            <v>53401200</v>
          </cell>
          <cell r="D79" t="str">
            <v>AWWSC Group Ins OPEX</v>
          </cell>
          <cell r="E79" t="str">
            <v>634.8</v>
          </cell>
          <cell r="F79">
            <v>53784</v>
          </cell>
          <cell r="G79">
            <v>53785</v>
          </cell>
          <cell r="H79">
            <v>53805</v>
          </cell>
          <cell r="I79">
            <v>53807</v>
          </cell>
          <cell r="J79">
            <v>53808</v>
          </cell>
          <cell r="K79">
            <v>53810</v>
          </cell>
          <cell r="L79">
            <v>0</v>
          </cell>
          <cell r="M79">
            <v>0</v>
          </cell>
          <cell r="N79">
            <v>0</v>
          </cell>
          <cell r="O79">
            <v>0</v>
          </cell>
          <cell r="P79">
            <v>0</v>
          </cell>
          <cell r="Q79">
            <v>0</v>
          </cell>
          <cell r="R79">
            <v>322799</v>
          </cell>
        </row>
        <row r="80">
          <cell r="A80" t="str">
            <v>P22</v>
          </cell>
          <cell r="B80" t="str">
            <v>Service Company Costs</v>
          </cell>
          <cell r="C80">
            <v>53401300</v>
          </cell>
          <cell r="D80" t="str">
            <v>AWWSC Other Ben OPEX</v>
          </cell>
          <cell r="E80" t="str">
            <v>634.8</v>
          </cell>
          <cell r="F80">
            <v>37937</v>
          </cell>
          <cell r="G80">
            <v>37241</v>
          </cell>
          <cell r="H80">
            <v>36825</v>
          </cell>
          <cell r="I80">
            <v>39728</v>
          </cell>
          <cell r="J80">
            <v>35516</v>
          </cell>
          <cell r="K80">
            <v>37616</v>
          </cell>
          <cell r="L80">
            <v>0</v>
          </cell>
          <cell r="M80">
            <v>0</v>
          </cell>
          <cell r="N80">
            <v>0</v>
          </cell>
          <cell r="O80">
            <v>0</v>
          </cell>
          <cell r="P80">
            <v>0</v>
          </cell>
          <cell r="Q80">
            <v>0</v>
          </cell>
          <cell r="R80">
            <v>224863</v>
          </cell>
        </row>
        <row r="81">
          <cell r="A81" t="str">
            <v>P22</v>
          </cell>
          <cell r="B81" t="str">
            <v>Service Company Costs</v>
          </cell>
          <cell r="C81">
            <v>53401400</v>
          </cell>
          <cell r="D81" t="str">
            <v>AWWSC Cont Svcs OPEX</v>
          </cell>
          <cell r="E81" t="str">
            <v>634.8</v>
          </cell>
          <cell r="F81">
            <v>55804</v>
          </cell>
          <cell r="G81">
            <v>56045</v>
          </cell>
          <cell r="H81">
            <v>60204</v>
          </cell>
          <cell r="I81">
            <v>55162</v>
          </cell>
          <cell r="J81">
            <v>55457</v>
          </cell>
          <cell r="K81">
            <v>57177</v>
          </cell>
          <cell r="L81">
            <v>0</v>
          </cell>
          <cell r="M81">
            <v>0</v>
          </cell>
          <cell r="N81">
            <v>0</v>
          </cell>
          <cell r="O81">
            <v>0</v>
          </cell>
          <cell r="P81">
            <v>0</v>
          </cell>
          <cell r="Q81">
            <v>0</v>
          </cell>
          <cell r="R81">
            <v>339849</v>
          </cell>
        </row>
        <row r="82">
          <cell r="A82" t="str">
            <v>P22</v>
          </cell>
          <cell r="B82" t="str">
            <v>Service Company Costs</v>
          </cell>
          <cell r="C82">
            <v>53401500</v>
          </cell>
          <cell r="D82" t="str">
            <v>AWWSC Off Suppl OPEX</v>
          </cell>
          <cell r="E82" t="str">
            <v>634.8</v>
          </cell>
          <cell r="F82">
            <v>28815</v>
          </cell>
          <cell r="G82">
            <v>31552</v>
          </cell>
          <cell r="H82">
            <v>36358</v>
          </cell>
          <cell r="I82">
            <v>30299</v>
          </cell>
          <cell r="J82">
            <v>30846</v>
          </cell>
          <cell r="K82">
            <v>34985</v>
          </cell>
          <cell r="L82">
            <v>837687</v>
          </cell>
          <cell r="M82">
            <v>764992</v>
          </cell>
          <cell r="N82">
            <v>899823</v>
          </cell>
          <cell r="O82">
            <v>820777</v>
          </cell>
          <cell r="P82">
            <v>828684</v>
          </cell>
          <cell r="Q82">
            <v>891880</v>
          </cell>
          <cell r="R82">
            <v>5236698</v>
          </cell>
        </row>
        <row r="83">
          <cell r="A83" t="str">
            <v>P22</v>
          </cell>
          <cell r="B83" t="str">
            <v>Service Company Costs</v>
          </cell>
          <cell r="C83">
            <v>53401600</v>
          </cell>
          <cell r="D83" t="str">
            <v>AWWSC Transportaion</v>
          </cell>
          <cell r="E83" t="str">
            <v>634.8</v>
          </cell>
          <cell r="F83">
            <v>0</v>
          </cell>
          <cell r="G83">
            <v>0</v>
          </cell>
          <cell r="H83">
            <v>0</v>
          </cell>
          <cell r="I83">
            <v>0</v>
          </cell>
          <cell r="J83">
            <v>0</v>
          </cell>
          <cell r="K83">
            <v>0</v>
          </cell>
          <cell r="L83">
            <v>0</v>
          </cell>
          <cell r="M83">
            <v>0</v>
          </cell>
          <cell r="N83">
            <v>0</v>
          </cell>
          <cell r="O83">
            <v>0</v>
          </cell>
          <cell r="P83">
            <v>0</v>
          </cell>
          <cell r="Q83">
            <v>0</v>
          </cell>
          <cell r="R83">
            <v>0</v>
          </cell>
        </row>
        <row r="84">
          <cell r="A84" t="str">
            <v>P22</v>
          </cell>
          <cell r="B84" t="str">
            <v>Service Company Costs</v>
          </cell>
          <cell r="C84">
            <v>53401700</v>
          </cell>
          <cell r="D84" t="str">
            <v>AWWSC Rents OPEX</v>
          </cell>
          <cell r="E84" t="str">
            <v>634.8</v>
          </cell>
          <cell r="F84">
            <v>23119</v>
          </cell>
          <cell r="G84">
            <v>23172</v>
          </cell>
          <cell r="H84">
            <v>23172</v>
          </cell>
          <cell r="I84">
            <v>23172</v>
          </cell>
          <cell r="J84">
            <v>23172</v>
          </cell>
          <cell r="K84">
            <v>23172</v>
          </cell>
          <cell r="L84">
            <v>0</v>
          </cell>
          <cell r="M84">
            <v>0</v>
          </cell>
          <cell r="N84">
            <v>0</v>
          </cell>
          <cell r="O84">
            <v>0</v>
          </cell>
          <cell r="P84">
            <v>0</v>
          </cell>
          <cell r="Q84">
            <v>0</v>
          </cell>
          <cell r="R84">
            <v>138979</v>
          </cell>
        </row>
        <row r="85">
          <cell r="A85" t="str">
            <v>P22</v>
          </cell>
          <cell r="B85" t="str">
            <v>Service Company Costs</v>
          </cell>
          <cell r="C85">
            <v>53401800</v>
          </cell>
          <cell r="D85" t="str">
            <v>AWWSC Other operting supplies</v>
          </cell>
          <cell r="E85" t="str">
            <v>634.8</v>
          </cell>
          <cell r="F85">
            <v>48628</v>
          </cell>
          <cell r="G85">
            <v>42346</v>
          </cell>
          <cell r="H85">
            <v>44994</v>
          </cell>
          <cell r="I85">
            <v>49750</v>
          </cell>
          <cell r="J85">
            <v>41971</v>
          </cell>
          <cell r="K85">
            <v>32890</v>
          </cell>
          <cell r="L85">
            <v>0</v>
          </cell>
          <cell r="M85">
            <v>0</v>
          </cell>
          <cell r="N85">
            <v>0</v>
          </cell>
          <cell r="O85">
            <v>0</v>
          </cell>
          <cell r="P85">
            <v>0</v>
          </cell>
          <cell r="Q85">
            <v>0</v>
          </cell>
          <cell r="R85">
            <v>260579</v>
          </cell>
        </row>
        <row r="86">
          <cell r="A86" t="str">
            <v>P22</v>
          </cell>
          <cell r="B86" t="str">
            <v>Service Company Costs</v>
          </cell>
          <cell r="C86">
            <v>53401900</v>
          </cell>
          <cell r="D86" t="str">
            <v>AWWSC Maint OPEX</v>
          </cell>
          <cell r="E86" t="str">
            <v>634.8</v>
          </cell>
          <cell r="F86">
            <v>20641</v>
          </cell>
          <cell r="G86">
            <v>20641</v>
          </cell>
          <cell r="H86">
            <v>20641</v>
          </cell>
          <cell r="I86">
            <v>20641</v>
          </cell>
          <cell r="J86">
            <v>20641</v>
          </cell>
          <cell r="K86">
            <v>20641</v>
          </cell>
          <cell r="L86">
            <v>0</v>
          </cell>
          <cell r="M86">
            <v>0</v>
          </cell>
          <cell r="N86">
            <v>0</v>
          </cell>
          <cell r="O86">
            <v>0</v>
          </cell>
          <cell r="P86">
            <v>0</v>
          </cell>
          <cell r="Q86">
            <v>0</v>
          </cell>
          <cell r="R86">
            <v>123846</v>
          </cell>
        </row>
        <row r="87">
          <cell r="A87" t="str">
            <v>P22</v>
          </cell>
          <cell r="B87" t="str">
            <v>Service Company Costs</v>
          </cell>
          <cell r="C87">
            <v>53402200</v>
          </cell>
          <cell r="D87" t="str">
            <v>AWWSC Dpr/Amrt OPEX</v>
          </cell>
          <cell r="E87" t="str">
            <v>634.8</v>
          </cell>
          <cell r="F87">
            <v>70897</v>
          </cell>
          <cell r="G87">
            <v>70893</v>
          </cell>
          <cell r="H87">
            <v>72318</v>
          </cell>
          <cell r="I87">
            <v>72295</v>
          </cell>
          <cell r="J87">
            <v>72211</v>
          </cell>
          <cell r="K87">
            <v>68757</v>
          </cell>
          <cell r="L87">
            <v>0</v>
          </cell>
          <cell r="M87">
            <v>0</v>
          </cell>
          <cell r="N87">
            <v>0</v>
          </cell>
          <cell r="O87">
            <v>0</v>
          </cell>
          <cell r="P87">
            <v>0</v>
          </cell>
          <cell r="Q87">
            <v>0</v>
          </cell>
          <cell r="R87">
            <v>427371</v>
          </cell>
        </row>
        <row r="88">
          <cell r="A88" t="str">
            <v>P22</v>
          </cell>
          <cell r="B88" t="str">
            <v>Service Company Costs</v>
          </cell>
          <cell r="C88">
            <v>53402300</v>
          </cell>
          <cell r="D88" t="str">
            <v>AWWSC Gen Tax OPEX</v>
          </cell>
          <cell r="E88" t="str">
            <v>634.8</v>
          </cell>
          <cell r="F88">
            <v>32556</v>
          </cell>
          <cell r="G88">
            <v>30126</v>
          </cell>
          <cell r="H88">
            <v>26817</v>
          </cell>
          <cell r="I88">
            <v>27190</v>
          </cell>
          <cell r="J88">
            <v>23837</v>
          </cell>
          <cell r="K88">
            <v>23403</v>
          </cell>
          <cell r="L88">
            <v>0</v>
          </cell>
          <cell r="M88">
            <v>0</v>
          </cell>
          <cell r="N88">
            <v>0</v>
          </cell>
          <cell r="O88">
            <v>0</v>
          </cell>
          <cell r="P88">
            <v>0</v>
          </cell>
          <cell r="Q88">
            <v>0</v>
          </cell>
          <cell r="R88">
            <v>163929</v>
          </cell>
        </row>
        <row r="89">
          <cell r="A89" t="str">
            <v>P22</v>
          </cell>
          <cell r="B89" t="str">
            <v>Service Company Costs</v>
          </cell>
          <cell r="C89">
            <v>53402400</v>
          </cell>
          <cell r="D89" t="str">
            <v>AWWSC Interest OPEX</v>
          </cell>
          <cell r="E89" t="str">
            <v>634.8</v>
          </cell>
          <cell r="F89">
            <v>8761</v>
          </cell>
          <cell r="G89">
            <v>8542</v>
          </cell>
          <cell r="H89">
            <v>8323</v>
          </cell>
          <cell r="I89">
            <v>8428</v>
          </cell>
          <cell r="J89">
            <v>8203</v>
          </cell>
          <cell r="K89">
            <v>7978</v>
          </cell>
          <cell r="L89">
            <v>0</v>
          </cell>
          <cell r="M89">
            <v>0</v>
          </cell>
          <cell r="N89">
            <v>0</v>
          </cell>
          <cell r="O89">
            <v>0</v>
          </cell>
          <cell r="P89">
            <v>0</v>
          </cell>
          <cell r="Q89">
            <v>0</v>
          </cell>
          <cell r="R89">
            <v>50235</v>
          </cell>
        </row>
        <row r="90">
          <cell r="A90" t="str">
            <v>P22</v>
          </cell>
          <cell r="B90" t="str">
            <v>Service Company Costs</v>
          </cell>
          <cell r="C90">
            <v>53402500</v>
          </cell>
          <cell r="D90" t="str">
            <v>AWWSC Oth Inc OPEX</v>
          </cell>
          <cell r="E90" t="str">
            <v>634.8</v>
          </cell>
          <cell r="F90">
            <v>-1540</v>
          </cell>
          <cell r="G90">
            <v>-1540</v>
          </cell>
          <cell r="H90">
            <v>-1540</v>
          </cell>
          <cell r="I90">
            <v>-1540</v>
          </cell>
          <cell r="J90">
            <v>-1540</v>
          </cell>
          <cell r="K90">
            <v>-1540</v>
          </cell>
          <cell r="L90">
            <v>0</v>
          </cell>
          <cell r="M90">
            <v>0</v>
          </cell>
          <cell r="N90">
            <v>0</v>
          </cell>
          <cell r="O90">
            <v>0</v>
          </cell>
          <cell r="P90">
            <v>0</v>
          </cell>
          <cell r="Q90">
            <v>0</v>
          </cell>
          <cell r="R90">
            <v>-9240</v>
          </cell>
        </row>
        <row r="91">
          <cell r="A91" t="str">
            <v>P22 Total</v>
          </cell>
          <cell r="B91"/>
          <cell r="C91"/>
          <cell r="D91"/>
          <cell r="E91"/>
          <cell r="F91">
            <v>808330</v>
          </cell>
          <cell r="G91">
            <v>783918</v>
          </cell>
          <cell r="H91">
            <v>892681</v>
          </cell>
          <cell r="I91">
            <v>808313</v>
          </cell>
          <cell r="J91">
            <v>758446</v>
          </cell>
          <cell r="K91">
            <v>888568</v>
          </cell>
          <cell r="L91">
            <v>837687</v>
          </cell>
          <cell r="M91">
            <v>764992</v>
          </cell>
          <cell r="N91">
            <v>899823</v>
          </cell>
          <cell r="O91">
            <v>820777</v>
          </cell>
          <cell r="P91">
            <v>828684</v>
          </cell>
          <cell r="Q91">
            <v>891880</v>
          </cell>
          <cell r="R91">
            <v>9984099</v>
          </cell>
        </row>
        <row r="92">
          <cell r="A92" t="str">
            <v>P23</v>
          </cell>
          <cell r="B92" t="str">
            <v>Contracted services</v>
          </cell>
          <cell r="C92">
            <v>53110000</v>
          </cell>
          <cell r="D92" t="str">
            <v>Contr Svc-Eng</v>
          </cell>
          <cell r="E92" t="str">
            <v>631.8</v>
          </cell>
          <cell r="F92">
            <v>0</v>
          </cell>
          <cell r="G92">
            <v>0</v>
          </cell>
          <cell r="H92">
            <v>0</v>
          </cell>
          <cell r="I92">
            <v>0</v>
          </cell>
          <cell r="J92">
            <v>0</v>
          </cell>
          <cell r="K92">
            <v>0</v>
          </cell>
          <cell r="L92">
            <v>0</v>
          </cell>
          <cell r="M92">
            <v>0</v>
          </cell>
          <cell r="N92">
            <v>0</v>
          </cell>
          <cell r="O92">
            <v>0</v>
          </cell>
          <cell r="P92">
            <v>0</v>
          </cell>
          <cell r="Q92">
            <v>0</v>
          </cell>
          <cell r="R92">
            <v>0</v>
          </cell>
        </row>
        <row r="93">
          <cell r="A93" t="str">
            <v>P23</v>
          </cell>
          <cell r="B93" t="str">
            <v>Contracted services</v>
          </cell>
          <cell r="C93">
            <v>53150000</v>
          </cell>
          <cell r="D93" t="str">
            <v>Contr Svc-Other</v>
          </cell>
          <cell r="E93" t="str">
            <v>636.8</v>
          </cell>
          <cell r="F93">
            <v>31856</v>
          </cell>
          <cell r="G93">
            <v>33712</v>
          </cell>
          <cell r="H93">
            <v>37428</v>
          </cell>
          <cell r="I93">
            <v>32039</v>
          </cell>
          <cell r="J93">
            <v>33485</v>
          </cell>
          <cell r="K93">
            <v>27608</v>
          </cell>
          <cell r="L93">
            <v>89004</v>
          </cell>
          <cell r="M93">
            <v>78465</v>
          </cell>
          <cell r="N93">
            <v>81579</v>
          </cell>
          <cell r="O93">
            <v>79761</v>
          </cell>
          <cell r="P93">
            <v>82930</v>
          </cell>
          <cell r="Q93">
            <v>85945</v>
          </cell>
          <cell r="R93">
            <v>693812</v>
          </cell>
        </row>
        <row r="94">
          <cell r="A94" t="str">
            <v>P23</v>
          </cell>
          <cell r="B94" t="str">
            <v>Contracted services</v>
          </cell>
          <cell r="C94">
            <v>53151000</v>
          </cell>
          <cell r="D94" t="str">
            <v>Contract Svc - Temp Empl</v>
          </cell>
          <cell r="E94" t="str">
            <v>636.8</v>
          </cell>
          <cell r="F94">
            <v>834</v>
          </cell>
          <cell r="G94">
            <v>834</v>
          </cell>
          <cell r="H94">
            <v>834</v>
          </cell>
          <cell r="I94">
            <v>834</v>
          </cell>
          <cell r="J94">
            <v>834</v>
          </cell>
          <cell r="K94">
            <v>834</v>
          </cell>
          <cell r="L94">
            <v>0</v>
          </cell>
          <cell r="M94">
            <v>0</v>
          </cell>
          <cell r="N94">
            <v>0</v>
          </cell>
          <cell r="O94">
            <v>0</v>
          </cell>
          <cell r="P94">
            <v>0</v>
          </cell>
          <cell r="Q94">
            <v>0</v>
          </cell>
          <cell r="R94">
            <v>5004</v>
          </cell>
        </row>
        <row r="95">
          <cell r="A95" t="str">
            <v>P23</v>
          </cell>
          <cell r="B95" t="str">
            <v>Contracted services</v>
          </cell>
          <cell r="C95">
            <v>53152000</v>
          </cell>
          <cell r="D95" t="str">
            <v>Contr Svc-Lab Testng</v>
          </cell>
          <cell r="E95" t="str">
            <v>635.3</v>
          </cell>
          <cell r="F95">
            <v>2584</v>
          </cell>
          <cell r="G95">
            <v>2584</v>
          </cell>
          <cell r="H95">
            <v>2584</v>
          </cell>
          <cell r="I95">
            <v>3584</v>
          </cell>
          <cell r="J95">
            <v>2584</v>
          </cell>
          <cell r="K95">
            <v>2584</v>
          </cell>
          <cell r="L95">
            <v>0</v>
          </cell>
          <cell r="M95">
            <v>0</v>
          </cell>
          <cell r="N95">
            <v>0</v>
          </cell>
          <cell r="O95">
            <v>0</v>
          </cell>
          <cell r="P95">
            <v>0</v>
          </cell>
          <cell r="Q95">
            <v>0</v>
          </cell>
          <cell r="R95">
            <v>16504</v>
          </cell>
        </row>
        <row r="96">
          <cell r="A96" t="str">
            <v>P23</v>
          </cell>
          <cell r="B96" t="str">
            <v>Contracted services</v>
          </cell>
          <cell r="C96">
            <v>53154000</v>
          </cell>
          <cell r="D96" t="str">
            <v>Contr Svc-Audit Fees</v>
          </cell>
          <cell r="E96" t="str">
            <v>632.8</v>
          </cell>
          <cell r="F96">
            <v>13355</v>
          </cell>
          <cell r="G96">
            <v>13355</v>
          </cell>
          <cell r="H96">
            <v>13355</v>
          </cell>
          <cell r="I96">
            <v>13355</v>
          </cell>
          <cell r="J96">
            <v>13355</v>
          </cell>
          <cell r="K96">
            <v>13355</v>
          </cell>
          <cell r="L96">
            <v>0</v>
          </cell>
          <cell r="M96">
            <v>0</v>
          </cell>
          <cell r="N96">
            <v>0</v>
          </cell>
          <cell r="O96">
            <v>0</v>
          </cell>
          <cell r="P96">
            <v>0</v>
          </cell>
          <cell r="Q96">
            <v>0</v>
          </cell>
          <cell r="R96">
            <v>80130</v>
          </cell>
        </row>
        <row r="97">
          <cell r="A97" t="str">
            <v>P23</v>
          </cell>
          <cell r="B97" t="str">
            <v>Contracted services</v>
          </cell>
          <cell r="C97">
            <v>53155000</v>
          </cell>
          <cell r="D97" t="str">
            <v>Contr Svc-Legal</v>
          </cell>
          <cell r="E97" t="str">
            <v>633.8</v>
          </cell>
          <cell r="F97">
            <v>24833</v>
          </cell>
          <cell r="G97">
            <v>24833</v>
          </cell>
          <cell r="H97">
            <v>24833</v>
          </cell>
          <cell r="I97">
            <v>24833</v>
          </cell>
          <cell r="J97">
            <v>24833</v>
          </cell>
          <cell r="K97">
            <v>24833</v>
          </cell>
          <cell r="L97">
            <v>0</v>
          </cell>
          <cell r="M97">
            <v>0</v>
          </cell>
          <cell r="N97">
            <v>0</v>
          </cell>
          <cell r="O97">
            <v>0</v>
          </cell>
          <cell r="P97">
            <v>0</v>
          </cell>
          <cell r="Q97">
            <v>0</v>
          </cell>
          <cell r="R97">
            <v>148998</v>
          </cell>
        </row>
        <row r="98">
          <cell r="A98" t="str">
            <v>P23 Total</v>
          </cell>
          <cell r="B98"/>
          <cell r="C98"/>
          <cell r="D98"/>
          <cell r="E98"/>
          <cell r="F98">
            <v>73462</v>
          </cell>
          <cell r="G98">
            <v>75318</v>
          </cell>
          <cell r="H98">
            <v>79034</v>
          </cell>
          <cell r="I98">
            <v>74645</v>
          </cell>
          <cell r="J98">
            <v>75091</v>
          </cell>
          <cell r="K98">
            <v>69214</v>
          </cell>
          <cell r="L98">
            <v>89004</v>
          </cell>
          <cell r="M98">
            <v>78465</v>
          </cell>
          <cell r="N98">
            <v>81579</v>
          </cell>
          <cell r="O98">
            <v>79761</v>
          </cell>
          <cell r="P98">
            <v>82930</v>
          </cell>
          <cell r="Q98">
            <v>85945</v>
          </cell>
          <cell r="R98">
            <v>944448</v>
          </cell>
        </row>
        <row r="99">
          <cell r="A99" t="str">
            <v>P24</v>
          </cell>
          <cell r="B99" t="str">
            <v>Building Maintenance and Services</v>
          </cell>
          <cell r="C99">
            <v>52532000</v>
          </cell>
          <cell r="D99" t="str">
            <v>Electricity</v>
          </cell>
          <cell r="E99" t="str">
            <v>675.8</v>
          </cell>
          <cell r="F99">
            <v>12171</v>
          </cell>
          <cell r="G99">
            <v>12812</v>
          </cell>
          <cell r="H99">
            <v>12078</v>
          </cell>
          <cell r="I99">
            <v>9367</v>
          </cell>
          <cell r="J99">
            <v>10835</v>
          </cell>
          <cell r="K99">
            <v>10835</v>
          </cell>
          <cell r="L99">
            <v>57519</v>
          </cell>
          <cell r="M99">
            <v>79861</v>
          </cell>
          <cell r="N99">
            <v>61020</v>
          </cell>
          <cell r="O99">
            <v>52849</v>
          </cell>
          <cell r="P99">
            <v>60563</v>
          </cell>
          <cell r="Q99">
            <v>63109</v>
          </cell>
          <cell r="R99">
            <v>443019</v>
          </cell>
        </row>
        <row r="100">
          <cell r="A100" t="str">
            <v>P24</v>
          </cell>
          <cell r="B100" t="str">
            <v>Building Maintenance and Services</v>
          </cell>
          <cell r="C100">
            <v>52546000</v>
          </cell>
          <cell r="D100" t="str">
            <v>Grounds Keeping</v>
          </cell>
          <cell r="E100" t="str">
            <v>675.8</v>
          </cell>
          <cell r="F100">
            <v>16353</v>
          </cell>
          <cell r="G100">
            <v>7945</v>
          </cell>
          <cell r="H100">
            <v>12502</v>
          </cell>
          <cell r="I100">
            <v>19292</v>
          </cell>
          <cell r="J100">
            <v>9773</v>
          </cell>
          <cell r="K100">
            <v>37416</v>
          </cell>
          <cell r="L100">
            <v>0</v>
          </cell>
          <cell r="M100">
            <v>0</v>
          </cell>
          <cell r="N100">
            <v>0</v>
          </cell>
          <cell r="O100">
            <v>0</v>
          </cell>
          <cell r="P100">
            <v>0</v>
          </cell>
          <cell r="Q100">
            <v>0</v>
          </cell>
          <cell r="R100">
            <v>103281</v>
          </cell>
        </row>
        <row r="101">
          <cell r="A101" t="str">
            <v>P24</v>
          </cell>
          <cell r="B101" t="str">
            <v>Building Maintenance and Services</v>
          </cell>
          <cell r="C101">
            <v>52548000</v>
          </cell>
          <cell r="D101" t="str">
            <v>Heating Oil/Gas</v>
          </cell>
          <cell r="E101" t="str">
            <v>675.8</v>
          </cell>
          <cell r="F101">
            <v>2667</v>
          </cell>
          <cell r="G101">
            <v>2667</v>
          </cell>
          <cell r="H101">
            <v>2667</v>
          </cell>
          <cell r="I101">
            <v>2667</v>
          </cell>
          <cell r="J101">
            <v>2667</v>
          </cell>
          <cell r="K101">
            <v>2667</v>
          </cell>
          <cell r="L101">
            <v>0</v>
          </cell>
          <cell r="M101">
            <v>0</v>
          </cell>
          <cell r="N101">
            <v>0</v>
          </cell>
          <cell r="O101">
            <v>0</v>
          </cell>
          <cell r="P101">
            <v>0</v>
          </cell>
          <cell r="Q101">
            <v>0</v>
          </cell>
          <cell r="R101">
            <v>16002</v>
          </cell>
        </row>
        <row r="102">
          <cell r="A102" t="str">
            <v>P24</v>
          </cell>
          <cell r="B102" t="str">
            <v>Building Maintenance and Services</v>
          </cell>
          <cell r="C102">
            <v>52550000</v>
          </cell>
          <cell r="D102" t="str">
            <v>Janitorial</v>
          </cell>
          <cell r="E102" t="str">
            <v>675.8</v>
          </cell>
          <cell r="F102">
            <v>6262</v>
          </cell>
          <cell r="G102">
            <v>7137</v>
          </cell>
          <cell r="H102">
            <v>8778</v>
          </cell>
          <cell r="I102">
            <v>7452</v>
          </cell>
          <cell r="J102">
            <v>7137</v>
          </cell>
          <cell r="K102">
            <v>-2782</v>
          </cell>
          <cell r="L102">
            <v>0</v>
          </cell>
          <cell r="M102">
            <v>0</v>
          </cell>
          <cell r="N102">
            <v>0</v>
          </cell>
          <cell r="O102">
            <v>0</v>
          </cell>
          <cell r="P102">
            <v>0</v>
          </cell>
          <cell r="Q102">
            <v>0</v>
          </cell>
          <cell r="R102">
            <v>33984</v>
          </cell>
        </row>
        <row r="103">
          <cell r="A103" t="str">
            <v>P24</v>
          </cell>
          <cell r="B103" t="str">
            <v>Building Maintenance and Services</v>
          </cell>
          <cell r="C103">
            <v>52571000</v>
          </cell>
          <cell r="D103" t="str">
            <v>Security Svc</v>
          </cell>
          <cell r="E103" t="str">
            <v>675.8</v>
          </cell>
          <cell r="F103">
            <v>2968</v>
          </cell>
          <cell r="G103">
            <v>2968</v>
          </cell>
          <cell r="H103">
            <v>4435</v>
          </cell>
          <cell r="I103">
            <v>2968</v>
          </cell>
          <cell r="J103">
            <v>2968</v>
          </cell>
          <cell r="K103">
            <v>2968</v>
          </cell>
          <cell r="L103">
            <v>0</v>
          </cell>
          <cell r="M103">
            <v>0</v>
          </cell>
          <cell r="N103">
            <v>0</v>
          </cell>
          <cell r="O103">
            <v>0</v>
          </cell>
          <cell r="P103">
            <v>0</v>
          </cell>
          <cell r="Q103">
            <v>0</v>
          </cell>
          <cell r="R103">
            <v>19275</v>
          </cell>
        </row>
        <row r="104">
          <cell r="A104" t="str">
            <v>P24</v>
          </cell>
          <cell r="B104" t="str">
            <v>Building Maintenance and Services</v>
          </cell>
          <cell r="C104">
            <v>52571100</v>
          </cell>
          <cell r="D104" t="str">
            <v>Additional Security Costs</v>
          </cell>
          <cell r="E104" t="str">
            <v>675.8</v>
          </cell>
          <cell r="F104">
            <v>5833</v>
          </cell>
          <cell r="G104">
            <v>5833</v>
          </cell>
          <cell r="H104">
            <v>5833</v>
          </cell>
          <cell r="I104">
            <v>5833</v>
          </cell>
          <cell r="J104">
            <v>5833</v>
          </cell>
          <cell r="K104">
            <v>5833</v>
          </cell>
          <cell r="L104">
            <v>0</v>
          </cell>
          <cell r="M104">
            <v>0</v>
          </cell>
          <cell r="N104">
            <v>0</v>
          </cell>
          <cell r="O104">
            <v>0</v>
          </cell>
          <cell r="P104">
            <v>0</v>
          </cell>
          <cell r="Q104">
            <v>0</v>
          </cell>
          <cell r="R104">
            <v>34998</v>
          </cell>
        </row>
        <row r="105">
          <cell r="A105" t="str">
            <v>P24</v>
          </cell>
          <cell r="B105" t="str">
            <v>Building Maintenance and Services</v>
          </cell>
          <cell r="C105">
            <v>52578000</v>
          </cell>
          <cell r="D105" t="str">
            <v>Trash Removal</v>
          </cell>
          <cell r="E105" t="str">
            <v>675.8</v>
          </cell>
          <cell r="F105">
            <v>1785</v>
          </cell>
          <cell r="G105">
            <v>2012</v>
          </cell>
          <cell r="H105">
            <v>1573</v>
          </cell>
          <cell r="I105">
            <v>1673</v>
          </cell>
          <cell r="J105">
            <v>1649</v>
          </cell>
          <cell r="K105">
            <v>1868</v>
          </cell>
          <cell r="L105">
            <v>0</v>
          </cell>
          <cell r="M105">
            <v>0</v>
          </cell>
          <cell r="N105">
            <v>0</v>
          </cell>
          <cell r="O105">
            <v>0</v>
          </cell>
          <cell r="P105">
            <v>0</v>
          </cell>
          <cell r="Q105">
            <v>0</v>
          </cell>
          <cell r="R105">
            <v>10560</v>
          </cell>
        </row>
        <row r="106">
          <cell r="A106" t="str">
            <v>P24</v>
          </cell>
          <cell r="B106" t="str">
            <v>Building Maintenance and Services</v>
          </cell>
          <cell r="C106">
            <v>52583000</v>
          </cell>
          <cell r="D106" t="str">
            <v>Water &amp; WW</v>
          </cell>
          <cell r="E106" t="str">
            <v>675.8</v>
          </cell>
          <cell r="F106">
            <v>7194</v>
          </cell>
          <cell r="G106">
            <v>6961</v>
          </cell>
          <cell r="H106">
            <v>15395</v>
          </cell>
          <cell r="I106">
            <v>6603</v>
          </cell>
          <cell r="J106">
            <v>6669</v>
          </cell>
          <cell r="K106">
            <v>4929</v>
          </cell>
          <cell r="L106">
            <v>0</v>
          </cell>
          <cell r="M106">
            <v>0</v>
          </cell>
          <cell r="N106">
            <v>0</v>
          </cell>
          <cell r="O106">
            <v>0</v>
          </cell>
          <cell r="P106">
            <v>0</v>
          </cell>
          <cell r="Q106">
            <v>0</v>
          </cell>
          <cell r="R106">
            <v>47751</v>
          </cell>
        </row>
        <row r="107">
          <cell r="A107" t="str">
            <v>P24 Total</v>
          </cell>
          <cell r="B107"/>
          <cell r="C107"/>
          <cell r="D107"/>
          <cell r="E107"/>
          <cell r="F107">
            <v>55233</v>
          </cell>
          <cell r="G107">
            <v>48335</v>
          </cell>
          <cell r="H107">
            <v>63261</v>
          </cell>
          <cell r="I107">
            <v>55855</v>
          </cell>
          <cell r="J107">
            <v>47531</v>
          </cell>
          <cell r="K107">
            <v>63734</v>
          </cell>
          <cell r="L107">
            <v>57519</v>
          </cell>
          <cell r="M107">
            <v>79861</v>
          </cell>
          <cell r="N107">
            <v>61020</v>
          </cell>
          <cell r="O107">
            <v>52849</v>
          </cell>
          <cell r="P107">
            <v>60563</v>
          </cell>
          <cell r="Q107">
            <v>63109</v>
          </cell>
          <cell r="R107">
            <v>708870</v>
          </cell>
        </row>
        <row r="108">
          <cell r="A108" t="str">
            <v>P25</v>
          </cell>
          <cell r="B108" t="str">
            <v>Telecommunication expenses</v>
          </cell>
          <cell r="C108">
            <v>52574000</v>
          </cell>
          <cell r="D108" t="str">
            <v>Telephone</v>
          </cell>
          <cell r="E108" t="str">
            <v>675.8</v>
          </cell>
          <cell r="F108">
            <v>9789</v>
          </cell>
          <cell r="G108">
            <v>9810</v>
          </cell>
          <cell r="H108">
            <v>9783</v>
          </cell>
          <cell r="I108">
            <v>9785</v>
          </cell>
          <cell r="J108">
            <v>9767</v>
          </cell>
          <cell r="K108">
            <v>9783</v>
          </cell>
          <cell r="L108">
            <v>21648</v>
          </cell>
          <cell r="M108">
            <v>22003</v>
          </cell>
          <cell r="N108">
            <v>21865</v>
          </cell>
          <cell r="O108">
            <v>21873</v>
          </cell>
          <cell r="P108">
            <v>21596</v>
          </cell>
          <cell r="Q108">
            <v>21778</v>
          </cell>
          <cell r="R108">
            <v>189480</v>
          </cell>
        </row>
        <row r="109">
          <cell r="A109" t="str">
            <v>P25</v>
          </cell>
          <cell r="B109" t="str">
            <v>Telecommunication expenses</v>
          </cell>
          <cell r="C109">
            <v>52574100</v>
          </cell>
          <cell r="D109" t="str">
            <v>Cell Phone</v>
          </cell>
          <cell r="E109" t="str">
            <v>675.8</v>
          </cell>
          <cell r="F109">
            <v>9348</v>
          </cell>
          <cell r="G109">
            <v>9146</v>
          </cell>
          <cell r="H109">
            <v>9136</v>
          </cell>
          <cell r="I109">
            <v>8910</v>
          </cell>
          <cell r="J109">
            <v>9000</v>
          </cell>
          <cell r="K109">
            <v>8859</v>
          </cell>
          <cell r="L109">
            <v>0</v>
          </cell>
          <cell r="M109">
            <v>0</v>
          </cell>
          <cell r="N109">
            <v>0</v>
          </cell>
          <cell r="O109">
            <v>0</v>
          </cell>
          <cell r="P109">
            <v>0</v>
          </cell>
          <cell r="Q109">
            <v>0</v>
          </cell>
          <cell r="R109">
            <v>54399</v>
          </cell>
        </row>
        <row r="110">
          <cell r="A110" t="str">
            <v>P25</v>
          </cell>
          <cell r="B110" t="str">
            <v>Telecommunication expenses</v>
          </cell>
          <cell r="C110">
            <v>52574115</v>
          </cell>
          <cell r="D110" t="str">
            <v>Cell Phone - Customer Accounting</v>
          </cell>
          <cell r="E110" t="str">
            <v>675.7</v>
          </cell>
          <cell r="F110">
            <v>962</v>
          </cell>
          <cell r="G110">
            <v>962</v>
          </cell>
          <cell r="H110">
            <v>962</v>
          </cell>
          <cell r="I110">
            <v>962</v>
          </cell>
          <cell r="J110">
            <v>962</v>
          </cell>
          <cell r="K110">
            <v>962</v>
          </cell>
          <cell r="L110">
            <v>0</v>
          </cell>
          <cell r="M110">
            <v>0</v>
          </cell>
          <cell r="N110">
            <v>0</v>
          </cell>
          <cell r="O110">
            <v>0</v>
          </cell>
          <cell r="P110">
            <v>0</v>
          </cell>
          <cell r="Q110">
            <v>0</v>
          </cell>
          <cell r="R110">
            <v>5772</v>
          </cell>
        </row>
        <row r="111">
          <cell r="A111" t="str">
            <v>P25 Total</v>
          </cell>
          <cell r="B111"/>
          <cell r="C111"/>
          <cell r="D111"/>
          <cell r="E111"/>
          <cell r="F111">
            <v>20099</v>
          </cell>
          <cell r="G111">
            <v>19918</v>
          </cell>
          <cell r="H111">
            <v>19881</v>
          </cell>
          <cell r="I111">
            <v>19657</v>
          </cell>
          <cell r="J111">
            <v>19729</v>
          </cell>
          <cell r="K111">
            <v>19604</v>
          </cell>
          <cell r="L111">
            <v>21648</v>
          </cell>
          <cell r="M111">
            <v>22003</v>
          </cell>
          <cell r="N111">
            <v>21865</v>
          </cell>
          <cell r="O111">
            <v>21873</v>
          </cell>
          <cell r="P111">
            <v>21596</v>
          </cell>
          <cell r="Q111">
            <v>21778</v>
          </cell>
          <cell r="R111">
            <v>249651</v>
          </cell>
        </row>
        <row r="112">
          <cell r="A112" t="str">
            <v>P26</v>
          </cell>
          <cell r="B112" t="str">
            <v>Postage, printing and stationary</v>
          </cell>
          <cell r="C112">
            <v>52562500</v>
          </cell>
          <cell r="D112" t="str">
            <v>Overnight Shippng</v>
          </cell>
          <cell r="E112" t="str">
            <v>675.8</v>
          </cell>
          <cell r="F112">
            <v>2089</v>
          </cell>
          <cell r="G112">
            <v>2149</v>
          </cell>
          <cell r="H112">
            <v>2078</v>
          </cell>
          <cell r="I112">
            <v>2259</v>
          </cell>
          <cell r="J112">
            <v>2163</v>
          </cell>
          <cell r="K112">
            <v>2107</v>
          </cell>
          <cell r="L112">
            <v>2756</v>
          </cell>
          <cell r="M112">
            <v>2541</v>
          </cell>
          <cell r="N112">
            <v>3075</v>
          </cell>
          <cell r="O112">
            <v>2481</v>
          </cell>
          <cell r="P112">
            <v>2622</v>
          </cell>
          <cell r="Q112">
            <v>2828</v>
          </cell>
          <cell r="R112">
            <v>29148</v>
          </cell>
        </row>
        <row r="113">
          <cell r="A113" t="str">
            <v>P26</v>
          </cell>
          <cell r="B113" t="str">
            <v>Postage, printing and stationary</v>
          </cell>
          <cell r="C113">
            <v>52566000</v>
          </cell>
          <cell r="D113" t="str">
            <v>Postage</v>
          </cell>
          <cell r="E113" t="str">
            <v>675.8</v>
          </cell>
          <cell r="F113">
            <v>17</v>
          </cell>
          <cell r="G113">
            <v>17</v>
          </cell>
          <cell r="H113">
            <v>101</v>
          </cell>
          <cell r="I113">
            <v>765</v>
          </cell>
          <cell r="J113">
            <v>17</v>
          </cell>
          <cell r="K113">
            <v>557</v>
          </cell>
          <cell r="L113">
            <v>0</v>
          </cell>
          <cell r="M113">
            <v>0</v>
          </cell>
          <cell r="N113">
            <v>0</v>
          </cell>
          <cell r="O113">
            <v>0</v>
          </cell>
          <cell r="P113">
            <v>0</v>
          </cell>
          <cell r="Q113">
            <v>0</v>
          </cell>
          <cell r="R113">
            <v>1474</v>
          </cell>
        </row>
        <row r="114">
          <cell r="A114" t="str">
            <v>P26</v>
          </cell>
          <cell r="B114" t="str">
            <v>Postage, printing and stationary</v>
          </cell>
          <cell r="C114">
            <v>52566700</v>
          </cell>
          <cell r="D114" t="str">
            <v>Printing</v>
          </cell>
          <cell r="E114" t="str">
            <v>675.8</v>
          </cell>
          <cell r="F114">
            <v>171</v>
          </cell>
          <cell r="G114">
            <v>171</v>
          </cell>
          <cell r="H114">
            <v>171</v>
          </cell>
          <cell r="I114">
            <v>171</v>
          </cell>
          <cell r="J114">
            <v>171</v>
          </cell>
          <cell r="K114">
            <v>671</v>
          </cell>
          <cell r="L114">
            <v>0</v>
          </cell>
          <cell r="M114">
            <v>0</v>
          </cell>
          <cell r="N114">
            <v>0</v>
          </cell>
          <cell r="O114">
            <v>0</v>
          </cell>
          <cell r="P114">
            <v>0</v>
          </cell>
          <cell r="Q114">
            <v>0</v>
          </cell>
          <cell r="R114">
            <v>1526</v>
          </cell>
        </row>
        <row r="115">
          <cell r="A115" t="str">
            <v>P26 Total</v>
          </cell>
          <cell r="B115"/>
          <cell r="C115"/>
          <cell r="D115"/>
          <cell r="E115"/>
          <cell r="F115">
            <v>2277</v>
          </cell>
          <cell r="G115">
            <v>2337</v>
          </cell>
          <cell r="H115">
            <v>2350</v>
          </cell>
          <cell r="I115">
            <v>3195</v>
          </cell>
          <cell r="J115">
            <v>2351</v>
          </cell>
          <cell r="K115">
            <v>3335</v>
          </cell>
          <cell r="L115">
            <v>2756</v>
          </cell>
          <cell r="M115">
            <v>2541</v>
          </cell>
          <cell r="N115">
            <v>3075</v>
          </cell>
          <cell r="O115">
            <v>2481</v>
          </cell>
          <cell r="P115">
            <v>2622</v>
          </cell>
          <cell r="Q115">
            <v>2828</v>
          </cell>
          <cell r="R115">
            <v>32148</v>
          </cell>
        </row>
        <row r="116">
          <cell r="A116" t="str">
            <v>P27</v>
          </cell>
          <cell r="B116" t="str">
            <v>Office supplies and services</v>
          </cell>
          <cell r="C116">
            <v>52526100</v>
          </cell>
          <cell r="D116" t="str">
            <v>Credit Line Fees I/C</v>
          </cell>
          <cell r="E116" t="str">
            <v>675.8</v>
          </cell>
          <cell r="F116">
            <v>2889</v>
          </cell>
          <cell r="G116">
            <v>2889</v>
          </cell>
          <cell r="H116">
            <v>2889</v>
          </cell>
          <cell r="I116">
            <v>2889</v>
          </cell>
          <cell r="J116">
            <v>2889</v>
          </cell>
          <cell r="K116">
            <v>2889</v>
          </cell>
          <cell r="L116">
            <v>0</v>
          </cell>
          <cell r="M116">
            <v>0</v>
          </cell>
          <cell r="N116">
            <v>0</v>
          </cell>
          <cell r="O116">
            <v>0</v>
          </cell>
          <cell r="P116">
            <v>0</v>
          </cell>
          <cell r="Q116">
            <v>0</v>
          </cell>
          <cell r="R116">
            <v>17334</v>
          </cell>
        </row>
        <row r="117">
          <cell r="A117" t="str">
            <v>P27</v>
          </cell>
          <cell r="B117" t="str">
            <v>Office supplies and services</v>
          </cell>
          <cell r="C117">
            <v>52542016</v>
          </cell>
          <cell r="D117" t="str">
            <v>Forms AG</v>
          </cell>
          <cell r="E117" t="str">
            <v>675.8</v>
          </cell>
          <cell r="F117">
            <v>85</v>
          </cell>
          <cell r="G117">
            <v>85</v>
          </cell>
          <cell r="H117">
            <v>85</v>
          </cell>
          <cell r="I117">
            <v>85</v>
          </cell>
          <cell r="J117">
            <v>85</v>
          </cell>
          <cell r="K117">
            <v>85</v>
          </cell>
          <cell r="L117">
            <v>0</v>
          </cell>
          <cell r="M117">
            <v>0</v>
          </cell>
          <cell r="N117">
            <v>0</v>
          </cell>
          <cell r="O117">
            <v>0</v>
          </cell>
          <cell r="P117">
            <v>0</v>
          </cell>
          <cell r="Q117">
            <v>0</v>
          </cell>
          <cell r="R117">
            <v>510</v>
          </cell>
        </row>
        <row r="118">
          <cell r="A118" t="str">
            <v>P27</v>
          </cell>
          <cell r="B118" t="str">
            <v>Office supplies and services</v>
          </cell>
          <cell r="C118">
            <v>52562000</v>
          </cell>
          <cell r="D118" t="str">
            <v>Office Supplies</v>
          </cell>
          <cell r="E118" t="str">
            <v>675.8</v>
          </cell>
          <cell r="F118">
            <v>5625</v>
          </cell>
          <cell r="G118">
            <v>8342</v>
          </cell>
          <cell r="H118">
            <v>3612</v>
          </cell>
          <cell r="I118">
            <v>4682</v>
          </cell>
          <cell r="J118">
            <v>3811</v>
          </cell>
          <cell r="K118">
            <v>1551</v>
          </cell>
          <cell r="L118">
            <v>30401</v>
          </cell>
          <cell r="M118">
            <v>29691</v>
          </cell>
          <cell r="N118">
            <v>29573</v>
          </cell>
          <cell r="O118">
            <v>30143</v>
          </cell>
          <cell r="P118">
            <v>30325</v>
          </cell>
          <cell r="Q118">
            <v>28706</v>
          </cell>
          <cell r="R118">
            <v>206462</v>
          </cell>
        </row>
        <row r="119">
          <cell r="A119" t="str">
            <v>P27</v>
          </cell>
          <cell r="B119" t="str">
            <v>Office supplies and services</v>
          </cell>
          <cell r="C119">
            <v>52571500</v>
          </cell>
          <cell r="D119" t="str">
            <v>Software Licenses</v>
          </cell>
          <cell r="E119" t="str">
            <v>675.8</v>
          </cell>
          <cell r="F119">
            <v>16908</v>
          </cell>
          <cell r="G119">
            <v>16908</v>
          </cell>
          <cell r="H119">
            <v>16908</v>
          </cell>
          <cell r="I119">
            <v>16908</v>
          </cell>
          <cell r="J119">
            <v>16908</v>
          </cell>
          <cell r="K119">
            <v>16908</v>
          </cell>
          <cell r="L119">
            <v>0</v>
          </cell>
          <cell r="M119">
            <v>0</v>
          </cell>
          <cell r="N119">
            <v>0</v>
          </cell>
          <cell r="O119">
            <v>0</v>
          </cell>
          <cell r="P119">
            <v>0</v>
          </cell>
          <cell r="Q119">
            <v>0</v>
          </cell>
          <cell r="R119">
            <v>101448</v>
          </cell>
        </row>
        <row r="120">
          <cell r="A120" t="str">
            <v>P27</v>
          </cell>
          <cell r="B120" t="str">
            <v>Office supplies and services</v>
          </cell>
          <cell r="C120">
            <v>52582000</v>
          </cell>
          <cell r="D120" t="str">
            <v>Uniforms</v>
          </cell>
          <cell r="E120" t="str">
            <v>675.7</v>
          </cell>
          <cell r="F120">
            <v>3538</v>
          </cell>
          <cell r="G120">
            <v>3393</v>
          </cell>
          <cell r="H120">
            <v>3481</v>
          </cell>
          <cell r="I120">
            <v>3552</v>
          </cell>
          <cell r="J120">
            <v>3552</v>
          </cell>
          <cell r="K120">
            <v>3545</v>
          </cell>
          <cell r="L120">
            <v>0</v>
          </cell>
          <cell r="M120">
            <v>0</v>
          </cell>
          <cell r="N120">
            <v>0</v>
          </cell>
          <cell r="O120">
            <v>0</v>
          </cell>
          <cell r="P120">
            <v>0</v>
          </cell>
          <cell r="Q120">
            <v>0</v>
          </cell>
          <cell r="R120">
            <v>21061</v>
          </cell>
        </row>
        <row r="121">
          <cell r="A121" t="str">
            <v>P27 Total</v>
          </cell>
          <cell r="B121"/>
          <cell r="C121"/>
          <cell r="D121"/>
          <cell r="E121"/>
          <cell r="F121">
            <v>29045</v>
          </cell>
          <cell r="G121">
            <v>31617</v>
          </cell>
          <cell r="H121">
            <v>26975</v>
          </cell>
          <cell r="I121">
            <v>28116</v>
          </cell>
          <cell r="J121">
            <v>27245</v>
          </cell>
          <cell r="K121">
            <v>24978</v>
          </cell>
          <cell r="L121">
            <v>30401</v>
          </cell>
          <cell r="M121">
            <v>29691</v>
          </cell>
          <cell r="N121">
            <v>29573</v>
          </cell>
          <cell r="O121">
            <v>30143</v>
          </cell>
          <cell r="P121">
            <v>30325</v>
          </cell>
          <cell r="Q121">
            <v>28706</v>
          </cell>
          <cell r="R121">
            <v>346815</v>
          </cell>
        </row>
        <row r="122">
          <cell r="A122" t="str">
            <v>P28</v>
          </cell>
          <cell r="B122" t="str">
            <v>Advertising &amp; marketing expenses</v>
          </cell>
          <cell r="C122">
            <v>52503000</v>
          </cell>
          <cell r="D122" t="str">
            <v>Advertising</v>
          </cell>
          <cell r="E122" t="str">
            <v>660.8</v>
          </cell>
          <cell r="F122">
            <v>1000</v>
          </cell>
          <cell r="G122">
            <v>750</v>
          </cell>
          <cell r="H122">
            <v>1000</v>
          </cell>
          <cell r="I122">
            <v>1000</v>
          </cell>
          <cell r="J122">
            <v>750</v>
          </cell>
          <cell r="K122">
            <v>1000</v>
          </cell>
          <cell r="L122">
            <v>1100</v>
          </cell>
          <cell r="M122">
            <v>825</v>
          </cell>
          <cell r="N122">
            <v>1100</v>
          </cell>
          <cell r="O122">
            <v>1100</v>
          </cell>
          <cell r="P122">
            <v>825</v>
          </cell>
          <cell r="Q122">
            <v>1100</v>
          </cell>
          <cell r="R122">
            <v>11550</v>
          </cell>
        </row>
        <row r="123">
          <cell r="A123" t="str">
            <v>P28 Total</v>
          </cell>
          <cell r="B123"/>
          <cell r="C123"/>
          <cell r="D123"/>
          <cell r="E123"/>
          <cell r="F123">
            <v>1000</v>
          </cell>
          <cell r="G123">
            <v>750</v>
          </cell>
          <cell r="H123">
            <v>1000</v>
          </cell>
          <cell r="I123">
            <v>1000</v>
          </cell>
          <cell r="J123">
            <v>750</v>
          </cell>
          <cell r="K123">
            <v>1000</v>
          </cell>
          <cell r="L123">
            <v>1100</v>
          </cell>
          <cell r="M123">
            <v>825</v>
          </cell>
          <cell r="N123">
            <v>1100</v>
          </cell>
          <cell r="O123">
            <v>1100</v>
          </cell>
          <cell r="P123">
            <v>825</v>
          </cell>
          <cell r="Q123">
            <v>1100</v>
          </cell>
          <cell r="R123">
            <v>11550</v>
          </cell>
        </row>
        <row r="124">
          <cell r="A124" t="str">
            <v>P29</v>
          </cell>
          <cell r="B124" t="str">
            <v>Employee related expense travel &amp; entertainme</v>
          </cell>
          <cell r="C124">
            <v>52534000</v>
          </cell>
          <cell r="D124" t="str">
            <v>Employee Expenses</v>
          </cell>
          <cell r="E124" t="str">
            <v>675.8</v>
          </cell>
          <cell r="F124">
            <v>11221</v>
          </cell>
          <cell r="G124">
            <v>6121</v>
          </cell>
          <cell r="H124">
            <v>7621</v>
          </cell>
          <cell r="I124">
            <v>8717</v>
          </cell>
          <cell r="J124">
            <v>5717</v>
          </cell>
          <cell r="K124">
            <v>6721</v>
          </cell>
          <cell r="L124">
            <v>11580</v>
          </cell>
          <cell r="M124">
            <v>9228</v>
          </cell>
          <cell r="N124">
            <v>12823</v>
          </cell>
          <cell r="O124">
            <v>11616</v>
          </cell>
          <cell r="P124">
            <v>11601</v>
          </cell>
          <cell r="Q124">
            <v>12639</v>
          </cell>
          <cell r="R124">
            <v>115605</v>
          </cell>
        </row>
        <row r="125">
          <cell r="A125" t="str">
            <v>P29</v>
          </cell>
          <cell r="B125" t="str">
            <v>Employee related expense travel &amp; entertainme</v>
          </cell>
          <cell r="C125">
            <v>52534021</v>
          </cell>
          <cell r="D125" t="str">
            <v>Travel - Meals</v>
          </cell>
          <cell r="E125" t="str">
            <v>675.8</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A126" t="str">
            <v>P29</v>
          </cell>
          <cell r="B126" t="str">
            <v>Employee related expense travel &amp; entertainme</v>
          </cell>
          <cell r="C126">
            <v>52534200</v>
          </cell>
          <cell r="D126" t="str">
            <v>Conferences &amp; Reg</v>
          </cell>
          <cell r="E126" t="str">
            <v>675.8</v>
          </cell>
          <cell r="F126">
            <v>3075</v>
          </cell>
          <cell r="G126">
            <v>2425</v>
          </cell>
          <cell r="H126">
            <v>1125</v>
          </cell>
          <cell r="I126">
            <v>1125</v>
          </cell>
          <cell r="J126">
            <v>1775</v>
          </cell>
          <cell r="K126">
            <v>3424</v>
          </cell>
          <cell r="L126">
            <v>0</v>
          </cell>
          <cell r="M126">
            <v>0</v>
          </cell>
          <cell r="N126">
            <v>0</v>
          </cell>
          <cell r="O126">
            <v>0</v>
          </cell>
          <cell r="P126">
            <v>0</v>
          </cell>
          <cell r="Q126">
            <v>0</v>
          </cell>
          <cell r="R126">
            <v>12949</v>
          </cell>
        </row>
        <row r="127">
          <cell r="A127" t="str">
            <v>P29</v>
          </cell>
          <cell r="B127" t="str">
            <v>Employee related expense travel &amp; entertainme</v>
          </cell>
          <cell r="C127">
            <v>52535000</v>
          </cell>
          <cell r="D127" t="str">
            <v>Meals Deductible</v>
          </cell>
          <cell r="E127" t="str">
            <v>675.8</v>
          </cell>
          <cell r="F127">
            <v>2812</v>
          </cell>
          <cell r="G127">
            <v>2512</v>
          </cell>
          <cell r="H127">
            <v>3345</v>
          </cell>
          <cell r="I127">
            <v>3619</v>
          </cell>
          <cell r="J127">
            <v>2459</v>
          </cell>
          <cell r="K127">
            <v>3359</v>
          </cell>
          <cell r="L127">
            <v>0</v>
          </cell>
          <cell r="M127">
            <v>0</v>
          </cell>
          <cell r="N127">
            <v>0</v>
          </cell>
          <cell r="O127">
            <v>0</v>
          </cell>
          <cell r="P127">
            <v>0</v>
          </cell>
          <cell r="Q127">
            <v>0</v>
          </cell>
          <cell r="R127">
            <v>18106</v>
          </cell>
        </row>
        <row r="128">
          <cell r="A128" t="str">
            <v>P29 Total</v>
          </cell>
          <cell r="B128"/>
          <cell r="C128"/>
          <cell r="D128"/>
          <cell r="E128"/>
          <cell r="F128">
            <v>17108</v>
          </cell>
          <cell r="G128">
            <v>11058</v>
          </cell>
          <cell r="H128">
            <v>12091</v>
          </cell>
          <cell r="I128">
            <v>13461</v>
          </cell>
          <cell r="J128">
            <v>9951</v>
          </cell>
          <cell r="K128">
            <v>13504</v>
          </cell>
          <cell r="L128">
            <v>11580</v>
          </cell>
          <cell r="M128">
            <v>9228</v>
          </cell>
          <cell r="N128">
            <v>12823</v>
          </cell>
          <cell r="O128">
            <v>11616</v>
          </cell>
          <cell r="P128">
            <v>11601</v>
          </cell>
          <cell r="Q128">
            <v>12639</v>
          </cell>
          <cell r="R128">
            <v>146660</v>
          </cell>
        </row>
        <row r="129">
          <cell r="A129" t="str">
            <v>P30</v>
          </cell>
          <cell r="B129" t="str">
            <v>Miscellaneous expenses</v>
          </cell>
          <cell r="C129">
            <v>52000000</v>
          </cell>
          <cell r="D129" t="str">
            <v>M&amp;S Expense (O&amp;M)</v>
          </cell>
          <cell r="E129" t="str">
            <v>620.5</v>
          </cell>
          <cell r="F129">
            <v>13771</v>
          </cell>
          <cell r="G129">
            <v>13771</v>
          </cell>
          <cell r="H129">
            <v>13826</v>
          </cell>
          <cell r="I129">
            <v>14971</v>
          </cell>
          <cell r="J129">
            <v>13771</v>
          </cell>
          <cell r="K129">
            <v>13826</v>
          </cell>
          <cell r="L129">
            <v>141904</v>
          </cell>
          <cell r="M129">
            <v>88725</v>
          </cell>
          <cell r="N129">
            <v>79424</v>
          </cell>
          <cell r="O129">
            <v>66533</v>
          </cell>
          <cell r="P129">
            <v>63108</v>
          </cell>
          <cell r="Q129">
            <v>86485</v>
          </cell>
          <cell r="R129">
            <v>610115</v>
          </cell>
        </row>
        <row r="130">
          <cell r="A130" t="str">
            <v>P30</v>
          </cell>
          <cell r="B130" t="str">
            <v>Miscellaneous expenses</v>
          </cell>
          <cell r="C130">
            <v>52001000</v>
          </cell>
          <cell r="D130" t="str">
            <v>M&amp;S Expense (O&amp;M)</v>
          </cell>
          <cell r="E130" t="str">
            <v>620.5</v>
          </cell>
          <cell r="F130">
            <v>-49929.739214369911</v>
          </cell>
          <cell r="G130">
            <v>-51910.344746934803</v>
          </cell>
          <cell r="H130">
            <v>-48104.363680010909</v>
          </cell>
          <cell r="I130">
            <v>-46433.780082922196</v>
          </cell>
          <cell r="J130">
            <v>-40717.267981303987</v>
          </cell>
          <cell r="K130">
            <v>-42378.8981436381</v>
          </cell>
          <cell r="L130">
            <v>-44442.48391000001</v>
          </cell>
          <cell r="M130">
            <v>-42480.401810000003</v>
          </cell>
          <cell r="N130">
            <v>-46496.510830000036</v>
          </cell>
          <cell r="O130">
            <v>-49309.50662</v>
          </cell>
          <cell r="P130">
            <v>-50496.359979999972</v>
          </cell>
          <cell r="Q130">
            <v>-50919.703780000069</v>
          </cell>
          <cell r="R130">
            <v>-563619.36077917996</v>
          </cell>
        </row>
        <row r="131">
          <cell r="A131" t="str">
            <v>P30</v>
          </cell>
          <cell r="B131" t="str">
            <v>Miscellaneous expenses</v>
          </cell>
          <cell r="C131">
            <v>52500000</v>
          </cell>
          <cell r="D131" t="str">
            <v>Misc Exp Natural Acct</v>
          </cell>
          <cell r="E131" t="str">
            <v>675.8</v>
          </cell>
          <cell r="F131">
            <v>12927</v>
          </cell>
          <cell r="G131">
            <v>13014</v>
          </cell>
          <cell r="H131">
            <v>12914</v>
          </cell>
          <cell r="I131">
            <v>12968</v>
          </cell>
          <cell r="J131">
            <v>13075</v>
          </cell>
          <cell r="K131">
            <v>13914</v>
          </cell>
          <cell r="L131">
            <v>0</v>
          </cell>
          <cell r="M131">
            <v>0</v>
          </cell>
          <cell r="N131">
            <v>0</v>
          </cell>
          <cell r="O131">
            <v>0</v>
          </cell>
          <cell r="P131">
            <v>0</v>
          </cell>
          <cell r="Q131">
            <v>0</v>
          </cell>
          <cell r="R131">
            <v>78812</v>
          </cell>
        </row>
        <row r="132">
          <cell r="A132" t="str">
            <v>P30</v>
          </cell>
          <cell r="B132" t="str">
            <v>Miscellaneous expenses</v>
          </cell>
          <cell r="C132">
            <v>52514000</v>
          </cell>
          <cell r="D132" t="str">
            <v>Charitable Contribution Deductible</v>
          </cell>
          <cell r="E132" t="str">
            <v>675.8</v>
          </cell>
          <cell r="F132">
            <v>0</v>
          </cell>
          <cell r="G132">
            <v>0</v>
          </cell>
          <cell r="H132">
            <v>0</v>
          </cell>
          <cell r="I132">
            <v>0</v>
          </cell>
          <cell r="J132">
            <v>600</v>
          </cell>
          <cell r="K132">
            <v>0</v>
          </cell>
          <cell r="L132">
            <v>0</v>
          </cell>
          <cell r="M132">
            <v>0</v>
          </cell>
          <cell r="N132">
            <v>0</v>
          </cell>
          <cell r="O132">
            <v>0</v>
          </cell>
          <cell r="P132">
            <v>0</v>
          </cell>
          <cell r="Q132">
            <v>0</v>
          </cell>
          <cell r="R132">
            <v>600</v>
          </cell>
        </row>
        <row r="133">
          <cell r="A133" t="str">
            <v>P30</v>
          </cell>
          <cell r="B133" t="str">
            <v>Miscellaneous expenses</v>
          </cell>
          <cell r="C133">
            <v>52514500</v>
          </cell>
          <cell r="D133" t="str">
            <v>Charitb Don-H/Ed/En</v>
          </cell>
          <cell r="E133" t="str">
            <v>675.8</v>
          </cell>
          <cell r="F133">
            <v>4532</v>
          </cell>
          <cell r="G133">
            <v>4532</v>
          </cell>
          <cell r="H133">
            <v>4532</v>
          </cell>
          <cell r="I133">
            <v>4532</v>
          </cell>
          <cell r="J133">
            <v>4532</v>
          </cell>
          <cell r="K133">
            <v>4532</v>
          </cell>
          <cell r="L133">
            <v>0</v>
          </cell>
          <cell r="M133">
            <v>0</v>
          </cell>
          <cell r="N133">
            <v>0</v>
          </cell>
          <cell r="O133">
            <v>0</v>
          </cell>
          <cell r="P133">
            <v>0</v>
          </cell>
          <cell r="Q133">
            <v>0</v>
          </cell>
          <cell r="R133">
            <v>27192</v>
          </cell>
        </row>
        <row r="134">
          <cell r="A134" t="str">
            <v>P30</v>
          </cell>
          <cell r="B134" t="str">
            <v>Miscellaneous expenses</v>
          </cell>
          <cell r="C134">
            <v>52514600</v>
          </cell>
          <cell r="D134" t="str">
            <v>Charitb Don-Commnty</v>
          </cell>
          <cell r="E134" t="str">
            <v>675.8</v>
          </cell>
          <cell r="F134">
            <v>3588</v>
          </cell>
          <cell r="G134">
            <v>3588</v>
          </cell>
          <cell r="H134">
            <v>3588</v>
          </cell>
          <cell r="I134">
            <v>3588</v>
          </cell>
          <cell r="J134">
            <v>3588</v>
          </cell>
          <cell r="K134">
            <v>3588</v>
          </cell>
          <cell r="L134">
            <v>0</v>
          </cell>
          <cell r="M134">
            <v>0</v>
          </cell>
          <cell r="N134">
            <v>0</v>
          </cell>
          <cell r="O134">
            <v>0</v>
          </cell>
          <cell r="P134">
            <v>0</v>
          </cell>
          <cell r="Q134">
            <v>0</v>
          </cell>
          <cell r="R134">
            <v>21528</v>
          </cell>
        </row>
        <row r="135">
          <cell r="A135" t="str">
            <v>P30</v>
          </cell>
          <cell r="B135" t="str">
            <v>Miscellaneous expenses</v>
          </cell>
          <cell r="C135">
            <v>52514700</v>
          </cell>
          <cell r="D135" t="str">
            <v>Community Partnrshps</v>
          </cell>
          <cell r="E135" t="str">
            <v>675.8</v>
          </cell>
          <cell r="F135">
            <v>4258</v>
          </cell>
          <cell r="G135">
            <v>4258</v>
          </cell>
          <cell r="H135">
            <v>4258</v>
          </cell>
          <cell r="I135">
            <v>4258</v>
          </cell>
          <cell r="J135">
            <v>4258</v>
          </cell>
          <cell r="K135">
            <v>4258</v>
          </cell>
          <cell r="L135">
            <v>0</v>
          </cell>
          <cell r="M135">
            <v>0</v>
          </cell>
          <cell r="N135">
            <v>0</v>
          </cell>
          <cell r="O135">
            <v>0</v>
          </cell>
          <cell r="P135">
            <v>0</v>
          </cell>
          <cell r="Q135">
            <v>0</v>
          </cell>
          <cell r="R135">
            <v>25548</v>
          </cell>
        </row>
        <row r="136">
          <cell r="A136" t="str">
            <v>P30</v>
          </cell>
          <cell r="B136" t="str">
            <v>Miscellaneous expenses</v>
          </cell>
          <cell r="C136">
            <v>52514901</v>
          </cell>
          <cell r="D136" t="str">
            <v>Cust Edu Comm-Reg</v>
          </cell>
          <cell r="E136" t="str">
            <v>675.8</v>
          </cell>
          <cell r="F136">
            <v>660</v>
          </cell>
          <cell r="G136">
            <v>660</v>
          </cell>
          <cell r="H136">
            <v>660</v>
          </cell>
          <cell r="I136">
            <v>660</v>
          </cell>
          <cell r="J136">
            <v>660</v>
          </cell>
          <cell r="K136">
            <v>660</v>
          </cell>
          <cell r="L136">
            <v>0</v>
          </cell>
          <cell r="M136">
            <v>0</v>
          </cell>
          <cell r="N136">
            <v>0</v>
          </cell>
          <cell r="O136">
            <v>0</v>
          </cell>
          <cell r="P136">
            <v>0</v>
          </cell>
          <cell r="Q136">
            <v>0</v>
          </cell>
          <cell r="R136">
            <v>3960</v>
          </cell>
        </row>
        <row r="137">
          <cell r="A137" t="str">
            <v>P30</v>
          </cell>
          <cell r="B137" t="str">
            <v>Miscellaneous expenses</v>
          </cell>
          <cell r="C137">
            <v>52514903</v>
          </cell>
          <cell r="D137" t="str">
            <v>Cust Edu Comm-Issues</v>
          </cell>
          <cell r="E137" t="str">
            <v>675.8</v>
          </cell>
          <cell r="F137">
            <v>1052</v>
          </cell>
          <cell r="G137">
            <v>1052</v>
          </cell>
          <cell r="H137">
            <v>1052</v>
          </cell>
          <cell r="I137">
            <v>1052</v>
          </cell>
          <cell r="J137">
            <v>1052</v>
          </cell>
          <cell r="K137">
            <v>1052</v>
          </cell>
          <cell r="L137">
            <v>0</v>
          </cell>
          <cell r="M137">
            <v>0</v>
          </cell>
          <cell r="N137">
            <v>0</v>
          </cell>
          <cell r="O137">
            <v>0</v>
          </cell>
          <cell r="P137">
            <v>0</v>
          </cell>
          <cell r="Q137">
            <v>0</v>
          </cell>
          <cell r="R137">
            <v>6312</v>
          </cell>
        </row>
        <row r="138">
          <cell r="A138" t="str">
            <v>P30</v>
          </cell>
          <cell r="B138" t="str">
            <v>Miscellaneous expenses</v>
          </cell>
          <cell r="C138">
            <v>52514904</v>
          </cell>
          <cell r="D138" t="str">
            <v>Cust Edu Comm-Consrv</v>
          </cell>
          <cell r="E138" t="str">
            <v>675.8</v>
          </cell>
          <cell r="F138">
            <v>6750</v>
          </cell>
          <cell r="G138">
            <v>6750</v>
          </cell>
          <cell r="H138">
            <v>6750</v>
          </cell>
          <cell r="I138">
            <v>6750</v>
          </cell>
          <cell r="J138">
            <v>6750</v>
          </cell>
          <cell r="K138">
            <v>6750</v>
          </cell>
          <cell r="L138">
            <v>0</v>
          </cell>
          <cell r="M138">
            <v>0</v>
          </cell>
          <cell r="N138">
            <v>0</v>
          </cell>
          <cell r="O138">
            <v>0</v>
          </cell>
          <cell r="P138">
            <v>0</v>
          </cell>
          <cell r="Q138">
            <v>0</v>
          </cell>
          <cell r="R138">
            <v>40500</v>
          </cell>
        </row>
        <row r="139">
          <cell r="A139" t="str">
            <v>P30</v>
          </cell>
          <cell r="B139" t="str">
            <v>Miscellaneous expenses</v>
          </cell>
          <cell r="C139">
            <v>52514905</v>
          </cell>
          <cell r="D139" t="str">
            <v>Cust Edu Comm-Printd</v>
          </cell>
          <cell r="E139" t="str">
            <v>675.8</v>
          </cell>
          <cell r="F139">
            <v>1094</v>
          </cell>
          <cell r="G139">
            <v>1094</v>
          </cell>
          <cell r="H139">
            <v>1094</v>
          </cell>
          <cell r="I139">
            <v>1094</v>
          </cell>
          <cell r="J139">
            <v>1094</v>
          </cell>
          <cell r="K139">
            <v>1094</v>
          </cell>
          <cell r="L139">
            <v>0</v>
          </cell>
          <cell r="M139">
            <v>0</v>
          </cell>
          <cell r="N139">
            <v>0</v>
          </cell>
          <cell r="O139">
            <v>0</v>
          </cell>
          <cell r="P139">
            <v>0</v>
          </cell>
          <cell r="Q139">
            <v>0</v>
          </cell>
          <cell r="R139">
            <v>6564</v>
          </cell>
        </row>
        <row r="140">
          <cell r="A140" t="str">
            <v>P30</v>
          </cell>
          <cell r="B140" t="str">
            <v>Miscellaneous expenses</v>
          </cell>
          <cell r="C140">
            <v>52514907</v>
          </cell>
          <cell r="D140" t="str">
            <v>Cust Edu-Press Rls</v>
          </cell>
          <cell r="E140" t="str">
            <v>675.8</v>
          </cell>
          <cell r="F140">
            <v>83</v>
          </cell>
          <cell r="G140">
            <v>83</v>
          </cell>
          <cell r="H140">
            <v>83</v>
          </cell>
          <cell r="I140">
            <v>83</v>
          </cell>
          <cell r="J140">
            <v>83</v>
          </cell>
          <cell r="K140">
            <v>83</v>
          </cell>
          <cell r="L140">
            <v>0</v>
          </cell>
          <cell r="M140">
            <v>0</v>
          </cell>
          <cell r="N140">
            <v>0</v>
          </cell>
          <cell r="O140">
            <v>0</v>
          </cell>
          <cell r="P140">
            <v>0</v>
          </cell>
          <cell r="Q140">
            <v>0</v>
          </cell>
          <cell r="R140">
            <v>498</v>
          </cell>
        </row>
        <row r="141">
          <cell r="A141" t="str">
            <v>P30</v>
          </cell>
          <cell r="B141" t="str">
            <v>Miscellaneous expenses</v>
          </cell>
          <cell r="C141">
            <v>52514909</v>
          </cell>
          <cell r="D141" t="str">
            <v>Cust Edu-Video&amp;Photo</v>
          </cell>
          <cell r="E141" t="str">
            <v>675.8</v>
          </cell>
          <cell r="F141">
            <v>0</v>
          </cell>
          <cell r="G141">
            <v>300</v>
          </cell>
          <cell r="H141">
            <v>0</v>
          </cell>
          <cell r="I141">
            <v>0</v>
          </cell>
          <cell r="J141">
            <v>4600</v>
          </cell>
          <cell r="K141">
            <v>0</v>
          </cell>
          <cell r="L141">
            <v>0</v>
          </cell>
          <cell r="M141">
            <v>0</v>
          </cell>
          <cell r="N141">
            <v>0</v>
          </cell>
          <cell r="O141">
            <v>0</v>
          </cell>
          <cell r="P141">
            <v>0</v>
          </cell>
          <cell r="Q141">
            <v>0</v>
          </cell>
          <cell r="R141">
            <v>4900</v>
          </cell>
        </row>
        <row r="142">
          <cell r="A142" t="str">
            <v>P30</v>
          </cell>
          <cell r="B142" t="str">
            <v>Miscellaneous expenses</v>
          </cell>
          <cell r="C142">
            <v>52515000</v>
          </cell>
          <cell r="D142" t="str">
            <v>Commun Relations-E</v>
          </cell>
          <cell r="E142" t="str">
            <v>675.8</v>
          </cell>
          <cell r="F142">
            <v>367</v>
          </cell>
          <cell r="G142">
            <v>367</v>
          </cell>
          <cell r="H142">
            <v>367</v>
          </cell>
          <cell r="I142">
            <v>367</v>
          </cell>
          <cell r="J142">
            <v>367</v>
          </cell>
          <cell r="K142">
            <v>367</v>
          </cell>
          <cell r="L142">
            <v>0</v>
          </cell>
          <cell r="M142">
            <v>0</v>
          </cell>
          <cell r="N142">
            <v>0</v>
          </cell>
          <cell r="O142">
            <v>0</v>
          </cell>
          <cell r="P142">
            <v>0</v>
          </cell>
          <cell r="Q142">
            <v>0</v>
          </cell>
          <cell r="R142">
            <v>2202</v>
          </cell>
        </row>
        <row r="143">
          <cell r="A143" t="str">
            <v>P30</v>
          </cell>
          <cell r="B143" t="str">
            <v>Miscellaneous expenses</v>
          </cell>
          <cell r="C143">
            <v>52515001</v>
          </cell>
          <cell r="D143" t="str">
            <v>Commun Relations-S</v>
          </cell>
          <cell r="E143" t="str">
            <v>675.8</v>
          </cell>
          <cell r="F143">
            <v>182</v>
          </cell>
          <cell r="G143">
            <v>182</v>
          </cell>
          <cell r="H143">
            <v>182</v>
          </cell>
          <cell r="I143">
            <v>182</v>
          </cell>
          <cell r="J143">
            <v>182</v>
          </cell>
          <cell r="K143">
            <v>182</v>
          </cell>
          <cell r="L143">
            <v>0</v>
          </cell>
          <cell r="M143">
            <v>0</v>
          </cell>
          <cell r="N143">
            <v>0</v>
          </cell>
          <cell r="O143">
            <v>0</v>
          </cell>
          <cell r="P143">
            <v>0</v>
          </cell>
          <cell r="Q143">
            <v>0</v>
          </cell>
          <cell r="R143">
            <v>1092</v>
          </cell>
        </row>
        <row r="144">
          <cell r="A144" t="str">
            <v>P30</v>
          </cell>
          <cell r="B144" t="str">
            <v>Miscellaneous expenses</v>
          </cell>
          <cell r="C144">
            <v>52522000</v>
          </cell>
          <cell r="D144" t="str">
            <v>Community Relations</v>
          </cell>
          <cell r="E144" t="str">
            <v>675.8</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A145" t="str">
            <v>P30</v>
          </cell>
          <cell r="B145" t="str">
            <v>Miscellaneous expenses</v>
          </cell>
          <cell r="C145">
            <v>52524000</v>
          </cell>
          <cell r="D145" t="str">
            <v>Co Dues/Mmbrshp Ded</v>
          </cell>
          <cell r="E145" t="str">
            <v>675.8</v>
          </cell>
          <cell r="F145">
            <v>4868</v>
          </cell>
          <cell r="G145">
            <v>4868</v>
          </cell>
          <cell r="H145">
            <v>6083</v>
          </cell>
          <cell r="I145">
            <v>4868</v>
          </cell>
          <cell r="J145">
            <v>4868</v>
          </cell>
          <cell r="K145">
            <v>12368</v>
          </cell>
          <cell r="L145">
            <v>0</v>
          </cell>
          <cell r="M145">
            <v>0</v>
          </cell>
          <cell r="N145">
            <v>0</v>
          </cell>
          <cell r="O145">
            <v>0</v>
          </cell>
          <cell r="P145">
            <v>0</v>
          </cell>
          <cell r="Q145">
            <v>0</v>
          </cell>
          <cell r="R145">
            <v>37923</v>
          </cell>
        </row>
        <row r="146">
          <cell r="A146" t="str">
            <v>P30</v>
          </cell>
          <cell r="B146" t="str">
            <v>Miscellaneous expenses</v>
          </cell>
          <cell r="C146">
            <v>52527000</v>
          </cell>
          <cell r="D146" t="str">
            <v>Directors Fees</v>
          </cell>
          <cell r="E146" t="str">
            <v>675.8</v>
          </cell>
          <cell r="F146">
            <v>250</v>
          </cell>
          <cell r="G146">
            <v>250</v>
          </cell>
          <cell r="H146">
            <v>7750</v>
          </cell>
          <cell r="I146">
            <v>250</v>
          </cell>
          <cell r="J146">
            <v>250</v>
          </cell>
          <cell r="K146">
            <v>7750</v>
          </cell>
          <cell r="L146">
            <v>0</v>
          </cell>
          <cell r="M146">
            <v>0</v>
          </cell>
          <cell r="N146">
            <v>0</v>
          </cell>
          <cell r="O146">
            <v>0</v>
          </cell>
          <cell r="P146">
            <v>0</v>
          </cell>
          <cell r="Q146">
            <v>0</v>
          </cell>
          <cell r="R146">
            <v>16500</v>
          </cell>
        </row>
        <row r="147">
          <cell r="A147" t="str">
            <v>P30</v>
          </cell>
          <cell r="B147" t="str">
            <v>Miscellaneous expenses</v>
          </cell>
          <cell r="C147">
            <v>52528000</v>
          </cell>
          <cell r="D147" t="str">
            <v>Dues/Membership Deductible</v>
          </cell>
          <cell r="E147" t="str">
            <v>675.8</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A148" t="str">
            <v>P30</v>
          </cell>
          <cell r="B148" t="str">
            <v>Miscellaneous expenses</v>
          </cell>
          <cell r="C148">
            <v>52540000</v>
          </cell>
          <cell r="D148" t="str">
            <v>Amort Bus Svc ProjXp</v>
          </cell>
          <cell r="E148" t="str">
            <v>675.8</v>
          </cell>
          <cell r="F148">
            <v>95</v>
          </cell>
          <cell r="G148">
            <v>95</v>
          </cell>
          <cell r="H148">
            <v>95</v>
          </cell>
          <cell r="I148">
            <v>95</v>
          </cell>
          <cell r="J148">
            <v>95</v>
          </cell>
          <cell r="K148">
            <v>95</v>
          </cell>
          <cell r="L148">
            <v>0</v>
          </cell>
          <cell r="M148">
            <v>0</v>
          </cell>
          <cell r="N148">
            <v>0</v>
          </cell>
          <cell r="O148">
            <v>0</v>
          </cell>
          <cell r="P148">
            <v>0</v>
          </cell>
          <cell r="Q148">
            <v>0</v>
          </cell>
          <cell r="R148">
            <v>570</v>
          </cell>
        </row>
        <row r="149">
          <cell r="A149" t="str">
            <v>P30</v>
          </cell>
          <cell r="B149" t="str">
            <v>Miscellaneous expenses</v>
          </cell>
          <cell r="C149">
            <v>52549000</v>
          </cell>
          <cell r="D149" t="str">
            <v>Injuries and Damages</v>
          </cell>
          <cell r="E149" t="str">
            <v>675.8</v>
          </cell>
          <cell r="F149">
            <v>200</v>
          </cell>
          <cell r="G149">
            <v>0</v>
          </cell>
          <cell r="H149">
            <v>0</v>
          </cell>
          <cell r="I149">
            <v>0</v>
          </cell>
          <cell r="J149">
            <v>0</v>
          </cell>
          <cell r="K149">
            <v>0</v>
          </cell>
          <cell r="L149">
            <v>0</v>
          </cell>
          <cell r="M149">
            <v>0</v>
          </cell>
          <cell r="N149">
            <v>0</v>
          </cell>
          <cell r="O149">
            <v>0</v>
          </cell>
          <cell r="P149">
            <v>0</v>
          </cell>
          <cell r="Q149">
            <v>0</v>
          </cell>
          <cell r="R149">
            <v>200</v>
          </cell>
        </row>
        <row r="150">
          <cell r="A150" t="str">
            <v>P30</v>
          </cell>
          <cell r="B150" t="str">
            <v>Miscellaneous expenses</v>
          </cell>
          <cell r="C150">
            <v>52549500</v>
          </cell>
          <cell r="D150" t="str">
            <v>Inventory Physical Write_off Scrap</v>
          </cell>
          <cell r="E150" t="str">
            <v>675.8</v>
          </cell>
          <cell r="F150">
            <v>208</v>
          </cell>
          <cell r="G150">
            <v>208</v>
          </cell>
          <cell r="H150">
            <v>208</v>
          </cell>
          <cell r="I150">
            <v>208</v>
          </cell>
          <cell r="J150">
            <v>208</v>
          </cell>
          <cell r="K150">
            <v>208</v>
          </cell>
          <cell r="L150">
            <v>0</v>
          </cell>
          <cell r="M150">
            <v>0</v>
          </cell>
          <cell r="N150">
            <v>0</v>
          </cell>
          <cell r="O150">
            <v>0</v>
          </cell>
          <cell r="P150">
            <v>0</v>
          </cell>
          <cell r="Q150">
            <v>0</v>
          </cell>
          <cell r="R150">
            <v>1248</v>
          </cell>
        </row>
        <row r="151">
          <cell r="A151" t="str">
            <v>P30</v>
          </cell>
          <cell r="B151" t="str">
            <v>Miscellaneous expenses</v>
          </cell>
          <cell r="C151">
            <v>52554500</v>
          </cell>
          <cell r="D151" t="str">
            <v>Lab Supplies</v>
          </cell>
          <cell r="E151" t="str">
            <v>675.3</v>
          </cell>
          <cell r="F151">
            <v>9459</v>
          </cell>
          <cell r="G151">
            <v>9459</v>
          </cell>
          <cell r="H151">
            <v>9459</v>
          </cell>
          <cell r="I151">
            <v>9459</v>
          </cell>
          <cell r="J151">
            <v>9459</v>
          </cell>
          <cell r="K151">
            <v>9459</v>
          </cell>
          <cell r="L151">
            <v>0</v>
          </cell>
          <cell r="M151">
            <v>0</v>
          </cell>
          <cell r="N151">
            <v>0</v>
          </cell>
          <cell r="O151">
            <v>0</v>
          </cell>
          <cell r="P151">
            <v>0</v>
          </cell>
          <cell r="Q151">
            <v>0</v>
          </cell>
          <cell r="R151">
            <v>56754</v>
          </cell>
        </row>
        <row r="152">
          <cell r="A152" t="str">
            <v>P30</v>
          </cell>
          <cell r="B152" t="str">
            <v>Miscellaneous expenses</v>
          </cell>
          <cell r="C152">
            <v>52556500</v>
          </cell>
          <cell r="D152" t="str">
            <v>Low Income Pay Prog</v>
          </cell>
          <cell r="E152" t="str">
            <v>675.8</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A153" t="str">
            <v>P30</v>
          </cell>
          <cell r="B153" t="str">
            <v>Miscellaneous expenses</v>
          </cell>
          <cell r="C153">
            <v>52568000</v>
          </cell>
          <cell r="D153" t="str">
            <v>Research &amp; Develop</v>
          </cell>
          <cell r="E153" t="str">
            <v>675.8</v>
          </cell>
          <cell r="F153">
            <v>1958</v>
          </cell>
          <cell r="G153">
            <v>1958</v>
          </cell>
          <cell r="H153">
            <v>1958</v>
          </cell>
          <cell r="I153">
            <v>3538</v>
          </cell>
          <cell r="J153">
            <v>1958</v>
          </cell>
          <cell r="K153">
            <v>1958</v>
          </cell>
          <cell r="L153">
            <v>0</v>
          </cell>
          <cell r="M153">
            <v>0</v>
          </cell>
          <cell r="N153">
            <v>0</v>
          </cell>
          <cell r="O153">
            <v>0</v>
          </cell>
          <cell r="P153">
            <v>0</v>
          </cell>
          <cell r="Q153">
            <v>0</v>
          </cell>
          <cell r="R153">
            <v>13328</v>
          </cell>
        </row>
        <row r="154">
          <cell r="A154" t="str">
            <v>P30</v>
          </cell>
          <cell r="B154" t="str">
            <v>Miscellaneous expenses</v>
          </cell>
          <cell r="C154">
            <v>52579000</v>
          </cell>
          <cell r="D154" t="str">
            <v>Trustee Fees</v>
          </cell>
          <cell r="E154" t="str">
            <v>675.8</v>
          </cell>
          <cell r="F154">
            <v>0</v>
          </cell>
          <cell r="G154">
            <v>5664</v>
          </cell>
          <cell r="H154">
            <v>0</v>
          </cell>
          <cell r="I154">
            <v>5098</v>
          </cell>
          <cell r="J154">
            <v>1068</v>
          </cell>
          <cell r="K154">
            <v>0</v>
          </cell>
          <cell r="L154">
            <v>0</v>
          </cell>
          <cell r="M154">
            <v>0</v>
          </cell>
          <cell r="N154">
            <v>0</v>
          </cell>
          <cell r="O154">
            <v>0</v>
          </cell>
          <cell r="P154">
            <v>0</v>
          </cell>
          <cell r="Q154">
            <v>0</v>
          </cell>
          <cell r="R154">
            <v>11830</v>
          </cell>
        </row>
        <row r="155">
          <cell r="A155" t="str">
            <v>P30</v>
          </cell>
          <cell r="B155" t="str">
            <v>Miscellaneous expenses</v>
          </cell>
          <cell r="C155">
            <v>52585000</v>
          </cell>
          <cell r="D155" t="str">
            <v>Discounts Available</v>
          </cell>
          <cell r="E155" t="str">
            <v>675.8</v>
          </cell>
          <cell r="F155">
            <v>-11508</v>
          </cell>
          <cell r="G155">
            <v>-6994</v>
          </cell>
          <cell r="H155">
            <v>-6498</v>
          </cell>
          <cell r="I155">
            <v>-7298</v>
          </cell>
          <cell r="J155">
            <v>-6730</v>
          </cell>
          <cell r="K155">
            <v>-5553</v>
          </cell>
          <cell r="L155">
            <v>0</v>
          </cell>
          <cell r="M155">
            <v>0</v>
          </cell>
          <cell r="N155">
            <v>0</v>
          </cell>
          <cell r="O155">
            <v>0</v>
          </cell>
          <cell r="P155">
            <v>0</v>
          </cell>
          <cell r="Q155">
            <v>0</v>
          </cell>
          <cell r="R155">
            <v>-44581</v>
          </cell>
        </row>
        <row r="156">
          <cell r="A156" t="str">
            <v>P30 Total</v>
          </cell>
          <cell r="B156"/>
          <cell r="C156"/>
          <cell r="D156"/>
          <cell r="E156"/>
          <cell r="F156">
            <v>4864.2607856300892</v>
          </cell>
          <cell r="G156">
            <v>13248.655253065197</v>
          </cell>
          <cell r="H156">
            <v>20256.636319989091</v>
          </cell>
          <cell r="I156">
            <v>20289.219917077804</v>
          </cell>
          <cell r="J156">
            <v>25070.732018696013</v>
          </cell>
          <cell r="K156">
            <v>34212.1018563619</v>
          </cell>
          <cell r="L156">
            <v>97461.51608999999</v>
          </cell>
          <cell r="M156">
            <v>46244.598189999997</v>
          </cell>
          <cell r="N156">
            <v>32927.489169999964</v>
          </cell>
          <cell r="O156">
            <v>17223.49338</v>
          </cell>
          <cell r="P156">
            <v>12611.640020000028</v>
          </cell>
          <cell r="Q156">
            <v>35565.296219999931</v>
          </cell>
          <cell r="R156">
            <v>359975.63922082004</v>
          </cell>
        </row>
        <row r="157">
          <cell r="A157" t="str">
            <v>P31</v>
          </cell>
          <cell r="B157" t="str">
            <v>Rents</v>
          </cell>
          <cell r="C157">
            <v>54110000</v>
          </cell>
          <cell r="D157" t="str">
            <v>Rents-Real Prop</v>
          </cell>
          <cell r="E157" t="str">
            <v>641.8</v>
          </cell>
          <cell r="F157">
            <v>1200</v>
          </cell>
          <cell r="G157">
            <v>1200</v>
          </cell>
          <cell r="H157">
            <v>1200</v>
          </cell>
          <cell r="I157">
            <v>1200</v>
          </cell>
          <cell r="J157">
            <v>1200</v>
          </cell>
          <cell r="K157">
            <v>1200</v>
          </cell>
          <cell r="L157">
            <v>1780</v>
          </cell>
          <cell r="M157">
            <v>1929</v>
          </cell>
          <cell r="N157">
            <v>1780</v>
          </cell>
          <cell r="O157">
            <v>1780</v>
          </cell>
          <cell r="P157">
            <v>2900</v>
          </cell>
          <cell r="Q157">
            <v>1856</v>
          </cell>
          <cell r="R157">
            <v>19225</v>
          </cell>
        </row>
        <row r="158">
          <cell r="A158" t="str">
            <v>P31</v>
          </cell>
          <cell r="B158" t="str">
            <v>Rents</v>
          </cell>
          <cell r="C158">
            <v>54140000</v>
          </cell>
          <cell r="D158" t="str">
            <v>Rents-Equip</v>
          </cell>
          <cell r="E158" t="str">
            <v>642.8</v>
          </cell>
          <cell r="F158">
            <v>1058</v>
          </cell>
          <cell r="G158">
            <v>580</v>
          </cell>
          <cell r="H158">
            <v>800</v>
          </cell>
          <cell r="I158">
            <v>659</v>
          </cell>
          <cell r="J158">
            <v>580</v>
          </cell>
          <cell r="K158">
            <v>500</v>
          </cell>
          <cell r="L158">
            <v>0</v>
          </cell>
          <cell r="M158">
            <v>0</v>
          </cell>
          <cell r="N158">
            <v>0</v>
          </cell>
          <cell r="O158">
            <v>0</v>
          </cell>
          <cell r="P158">
            <v>0</v>
          </cell>
          <cell r="Q158">
            <v>0</v>
          </cell>
          <cell r="R158">
            <v>4177</v>
          </cell>
        </row>
        <row r="159">
          <cell r="A159" t="str">
            <v>P31 Total</v>
          </cell>
          <cell r="B159"/>
          <cell r="C159"/>
          <cell r="D159"/>
          <cell r="E159"/>
          <cell r="F159">
            <v>2258</v>
          </cell>
          <cell r="G159">
            <v>1780</v>
          </cell>
          <cell r="H159">
            <v>2000</v>
          </cell>
          <cell r="I159">
            <v>1859</v>
          </cell>
          <cell r="J159">
            <v>1780</v>
          </cell>
          <cell r="K159">
            <v>1700</v>
          </cell>
          <cell r="L159">
            <v>1780</v>
          </cell>
          <cell r="M159">
            <v>1929</v>
          </cell>
          <cell r="N159">
            <v>1780</v>
          </cell>
          <cell r="O159">
            <v>1780</v>
          </cell>
          <cell r="P159">
            <v>2900</v>
          </cell>
          <cell r="Q159">
            <v>1856</v>
          </cell>
          <cell r="R159">
            <v>23402</v>
          </cell>
        </row>
        <row r="160">
          <cell r="A160" t="str">
            <v>P32</v>
          </cell>
          <cell r="B160" t="str">
            <v>Transportation</v>
          </cell>
          <cell r="C160">
            <v>55000000</v>
          </cell>
          <cell r="D160" t="str">
            <v>Transportation (O&amp;M)</v>
          </cell>
          <cell r="E160" t="str">
            <v>650.8</v>
          </cell>
          <cell r="F160">
            <v>455</v>
          </cell>
          <cell r="G160">
            <v>507</v>
          </cell>
          <cell r="H160">
            <v>480</v>
          </cell>
          <cell r="I160">
            <v>338</v>
          </cell>
          <cell r="J160">
            <v>625</v>
          </cell>
          <cell r="K160">
            <v>481</v>
          </cell>
          <cell r="L160">
            <v>33856</v>
          </cell>
          <cell r="M160">
            <v>39421</v>
          </cell>
          <cell r="N160">
            <v>58767</v>
          </cell>
          <cell r="O160">
            <v>31371</v>
          </cell>
          <cell r="P160">
            <v>29611</v>
          </cell>
          <cell r="Q160">
            <v>28363</v>
          </cell>
          <cell r="R160">
            <v>224275</v>
          </cell>
        </row>
        <row r="161">
          <cell r="A161" t="str">
            <v>P32</v>
          </cell>
          <cell r="B161" t="str">
            <v>Transportation</v>
          </cell>
          <cell r="C161">
            <v>55000100</v>
          </cell>
          <cell r="D161" t="str">
            <v>Trans Cap Credits</v>
          </cell>
          <cell r="E161" t="str">
            <v>650.8</v>
          </cell>
          <cell r="F161">
            <v>-11645</v>
          </cell>
          <cell r="G161">
            <v>-11288</v>
          </cell>
          <cell r="H161">
            <v>-11149</v>
          </cell>
          <cell r="I161">
            <v>-6886</v>
          </cell>
          <cell r="J161">
            <v>-14356</v>
          </cell>
          <cell r="K161">
            <v>-8479</v>
          </cell>
          <cell r="L161">
            <v>0</v>
          </cell>
          <cell r="M161">
            <v>0</v>
          </cell>
          <cell r="N161">
            <v>0</v>
          </cell>
          <cell r="O161">
            <v>0</v>
          </cell>
          <cell r="P161">
            <v>0</v>
          </cell>
          <cell r="Q161">
            <v>0</v>
          </cell>
          <cell r="R161">
            <v>-63803</v>
          </cell>
        </row>
        <row r="162">
          <cell r="A162" t="str">
            <v>P32</v>
          </cell>
          <cell r="B162" t="str">
            <v>Transportation</v>
          </cell>
          <cell r="C162">
            <v>55010100</v>
          </cell>
          <cell r="D162" t="str">
            <v>Transportation Lease Costs</v>
          </cell>
          <cell r="E162" t="str">
            <v>650.8</v>
          </cell>
          <cell r="F162">
            <v>1000</v>
          </cell>
          <cell r="G162">
            <v>1000</v>
          </cell>
          <cell r="H162">
            <v>4000</v>
          </cell>
          <cell r="I162">
            <v>18000</v>
          </cell>
          <cell r="J162">
            <v>10000</v>
          </cell>
          <cell r="K162">
            <v>1000</v>
          </cell>
          <cell r="L162">
            <v>0</v>
          </cell>
          <cell r="M162">
            <v>0</v>
          </cell>
          <cell r="N162">
            <v>0</v>
          </cell>
          <cell r="O162">
            <v>0</v>
          </cell>
          <cell r="P162">
            <v>0</v>
          </cell>
          <cell r="Q162">
            <v>0</v>
          </cell>
          <cell r="R162">
            <v>35000</v>
          </cell>
        </row>
        <row r="163">
          <cell r="A163" t="str">
            <v>P32</v>
          </cell>
          <cell r="B163" t="str">
            <v>Transportation</v>
          </cell>
          <cell r="C163">
            <v>55010200</v>
          </cell>
          <cell r="D163" t="str">
            <v>Trans Lease Fuel</v>
          </cell>
          <cell r="E163" t="str">
            <v>650.8</v>
          </cell>
          <cell r="F163">
            <v>20000</v>
          </cell>
          <cell r="G163">
            <v>20000</v>
          </cell>
          <cell r="H163">
            <v>20000</v>
          </cell>
          <cell r="I163">
            <v>20000</v>
          </cell>
          <cell r="J163">
            <v>20000</v>
          </cell>
          <cell r="K163">
            <v>21000</v>
          </cell>
          <cell r="L163">
            <v>0</v>
          </cell>
          <cell r="M163">
            <v>0</v>
          </cell>
          <cell r="N163">
            <v>0</v>
          </cell>
          <cell r="O163">
            <v>0</v>
          </cell>
          <cell r="P163">
            <v>0</v>
          </cell>
          <cell r="Q163">
            <v>0</v>
          </cell>
          <cell r="R163">
            <v>121000</v>
          </cell>
        </row>
        <row r="164">
          <cell r="A164" t="str">
            <v>P32</v>
          </cell>
          <cell r="B164" t="str">
            <v>Transportation</v>
          </cell>
          <cell r="C164">
            <v>55010300</v>
          </cell>
          <cell r="D164" t="str">
            <v>Trans Lease Maint</v>
          </cell>
          <cell r="E164" t="str">
            <v>650.8</v>
          </cell>
          <cell r="F164">
            <v>16000</v>
          </cell>
          <cell r="G164">
            <v>16000</v>
          </cell>
          <cell r="H164">
            <v>16000</v>
          </cell>
          <cell r="I164">
            <v>16000</v>
          </cell>
          <cell r="J164">
            <v>16000</v>
          </cell>
          <cell r="K164">
            <v>16000</v>
          </cell>
          <cell r="L164">
            <v>0</v>
          </cell>
          <cell r="M164">
            <v>0</v>
          </cell>
          <cell r="N164">
            <v>0</v>
          </cell>
          <cell r="O164">
            <v>0</v>
          </cell>
          <cell r="P164">
            <v>0</v>
          </cell>
          <cell r="Q164">
            <v>0</v>
          </cell>
          <cell r="R164">
            <v>96000</v>
          </cell>
        </row>
        <row r="165">
          <cell r="A165" t="str">
            <v>P32</v>
          </cell>
          <cell r="B165" t="str">
            <v>Transportation</v>
          </cell>
          <cell r="C165">
            <v>55010500</v>
          </cell>
          <cell r="D165" t="str">
            <v>Trans Reimb EE Prsnl</v>
          </cell>
          <cell r="E165" t="str">
            <v>650.8</v>
          </cell>
          <cell r="F165">
            <v>886</v>
          </cell>
          <cell r="G165">
            <v>2181</v>
          </cell>
          <cell r="H165">
            <v>1742</v>
          </cell>
          <cell r="I165">
            <v>2261</v>
          </cell>
          <cell r="J165">
            <v>2183</v>
          </cell>
          <cell r="K165">
            <v>2239</v>
          </cell>
          <cell r="L165">
            <v>0</v>
          </cell>
          <cell r="M165">
            <v>0</v>
          </cell>
          <cell r="N165">
            <v>0</v>
          </cell>
          <cell r="O165">
            <v>0</v>
          </cell>
          <cell r="P165">
            <v>0</v>
          </cell>
          <cell r="Q165">
            <v>0</v>
          </cell>
          <cell r="R165">
            <v>11492</v>
          </cell>
        </row>
        <row r="166">
          <cell r="A166" t="str">
            <v>P32 Total</v>
          </cell>
          <cell r="B166"/>
          <cell r="C166"/>
          <cell r="D166"/>
          <cell r="E166"/>
          <cell r="F166">
            <v>26696</v>
          </cell>
          <cell r="G166">
            <v>28400</v>
          </cell>
          <cell r="H166">
            <v>31073</v>
          </cell>
          <cell r="I166">
            <v>49713</v>
          </cell>
          <cell r="J166">
            <v>34452</v>
          </cell>
          <cell r="K166">
            <v>32241</v>
          </cell>
          <cell r="L166">
            <v>33856</v>
          </cell>
          <cell r="M166">
            <v>39421</v>
          </cell>
          <cell r="N166">
            <v>58767</v>
          </cell>
          <cell r="O166">
            <v>31371</v>
          </cell>
          <cell r="P166">
            <v>29611</v>
          </cell>
          <cell r="Q166">
            <v>28363</v>
          </cell>
          <cell r="R166">
            <v>423964</v>
          </cell>
        </row>
        <row r="167">
          <cell r="A167" t="str">
            <v>P33</v>
          </cell>
          <cell r="B167" t="str">
            <v>Uncollectible accounts expense</v>
          </cell>
          <cell r="C167">
            <v>57010000</v>
          </cell>
          <cell r="D167" t="str">
            <v>Uncoll Accts Exp</v>
          </cell>
          <cell r="E167" t="str">
            <v>670.7</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A168" t="str">
            <v>P33</v>
          </cell>
          <cell r="B168" t="str">
            <v>Uncollectible accounts expense</v>
          </cell>
          <cell r="C168">
            <v>57010015</v>
          </cell>
          <cell r="D168" t="str">
            <v>Uncollectible Accounts Exp - Customer Accounting</v>
          </cell>
          <cell r="E168" t="str">
            <v>670.7</v>
          </cell>
          <cell r="F168">
            <v>81672.004967660629</v>
          </cell>
          <cell r="G168">
            <v>82933.034432499975</v>
          </cell>
          <cell r="H168">
            <v>80953.87164665098</v>
          </cell>
          <cell r="I168">
            <v>77714.946537740354</v>
          </cell>
          <cell r="J168">
            <v>69716.628336183727</v>
          </cell>
          <cell r="K168">
            <v>68861.870323653682</v>
          </cell>
          <cell r="L168">
            <v>68746.461263944453</v>
          </cell>
          <cell r="M168">
            <v>65695.161982968901</v>
          </cell>
          <cell r="N168">
            <v>69206.390479758615</v>
          </cell>
          <cell r="O168">
            <v>69573.319935870677</v>
          </cell>
          <cell r="P168">
            <v>75563.168127376732</v>
          </cell>
          <cell r="Q168">
            <v>78653.692103660491</v>
          </cell>
          <cell r="R168">
            <v>889290.5501379692</v>
          </cell>
        </row>
        <row r="169">
          <cell r="A169" t="str">
            <v>P33</v>
          </cell>
          <cell r="B169" t="str">
            <v>Uncollectible accounts expense</v>
          </cell>
          <cell r="C169">
            <v>57010016</v>
          </cell>
          <cell r="D169" t="str">
            <v>Uncollectible Accounts Exp - Admin &amp; General</v>
          </cell>
          <cell r="E169" t="str">
            <v>670.7</v>
          </cell>
          <cell r="F169">
            <v>2500</v>
          </cell>
          <cell r="G169">
            <v>2500</v>
          </cell>
          <cell r="H169">
            <v>2500</v>
          </cell>
          <cell r="I169">
            <v>2500</v>
          </cell>
          <cell r="J169">
            <v>2500</v>
          </cell>
          <cell r="K169">
            <v>2500</v>
          </cell>
          <cell r="L169">
            <v>0</v>
          </cell>
          <cell r="M169">
            <v>0</v>
          </cell>
          <cell r="N169">
            <v>0</v>
          </cell>
          <cell r="O169">
            <v>0</v>
          </cell>
          <cell r="P169">
            <v>0</v>
          </cell>
          <cell r="Q169">
            <v>0</v>
          </cell>
          <cell r="R169">
            <v>15000</v>
          </cell>
        </row>
        <row r="170">
          <cell r="A170" t="str">
            <v>P33 Total</v>
          </cell>
          <cell r="B170"/>
          <cell r="C170"/>
          <cell r="D170"/>
          <cell r="E170"/>
          <cell r="F170">
            <v>84172.004967660629</v>
          </cell>
          <cell r="G170">
            <v>85433.034432499975</v>
          </cell>
          <cell r="H170">
            <v>83453.87164665098</v>
          </cell>
          <cell r="I170">
            <v>80214.946537740354</v>
          </cell>
          <cell r="J170">
            <v>72216.628336183727</v>
          </cell>
          <cell r="K170">
            <v>71361.870323653682</v>
          </cell>
          <cell r="L170">
            <v>68746.461263944453</v>
          </cell>
          <cell r="M170">
            <v>65695.161982968901</v>
          </cell>
          <cell r="N170">
            <v>69206.390479758615</v>
          </cell>
          <cell r="O170">
            <v>69573.319935870677</v>
          </cell>
          <cell r="P170">
            <v>75563.168127376732</v>
          </cell>
          <cell r="Q170">
            <v>78653.692103660491</v>
          </cell>
          <cell r="R170">
            <v>904290.5501379692</v>
          </cell>
        </row>
        <row r="171">
          <cell r="A171" t="str">
            <v>P34</v>
          </cell>
          <cell r="B171" t="str">
            <v>Customer accounting, other</v>
          </cell>
          <cell r="C171">
            <v>52501500</v>
          </cell>
          <cell r="D171" t="str">
            <v>Misc Oper CA</v>
          </cell>
          <cell r="E171" t="str">
            <v>675.7</v>
          </cell>
          <cell r="F171">
            <v>0</v>
          </cell>
          <cell r="G171">
            <v>0</v>
          </cell>
          <cell r="H171">
            <v>0</v>
          </cell>
          <cell r="I171">
            <v>0</v>
          </cell>
          <cell r="J171">
            <v>0</v>
          </cell>
          <cell r="K171">
            <v>0</v>
          </cell>
          <cell r="L171">
            <v>101476</v>
          </cell>
          <cell r="M171">
            <v>103009</v>
          </cell>
          <cell r="N171">
            <v>100911</v>
          </cell>
          <cell r="O171">
            <v>103965</v>
          </cell>
          <cell r="P171">
            <v>114001</v>
          </cell>
          <cell r="Q171">
            <v>107480</v>
          </cell>
          <cell r="R171">
            <v>630842</v>
          </cell>
        </row>
        <row r="172">
          <cell r="A172" t="str">
            <v>P34</v>
          </cell>
          <cell r="B172" t="str">
            <v>Customer accounting, other</v>
          </cell>
          <cell r="C172">
            <v>52510015</v>
          </cell>
          <cell r="D172" t="str">
            <v>Bank Svc Charges-CA</v>
          </cell>
          <cell r="E172" t="str">
            <v>675.7</v>
          </cell>
          <cell r="F172">
            <v>10532</v>
          </cell>
          <cell r="G172">
            <v>10735</v>
          </cell>
          <cell r="H172">
            <v>11343</v>
          </cell>
          <cell r="I172">
            <v>11484</v>
          </cell>
          <cell r="J172">
            <v>11858</v>
          </cell>
          <cell r="K172">
            <v>10601</v>
          </cell>
          <cell r="L172">
            <v>0</v>
          </cell>
          <cell r="M172">
            <v>0</v>
          </cell>
          <cell r="N172">
            <v>0</v>
          </cell>
          <cell r="O172">
            <v>0</v>
          </cell>
          <cell r="P172">
            <v>0</v>
          </cell>
          <cell r="Q172">
            <v>0</v>
          </cell>
          <cell r="R172">
            <v>66553</v>
          </cell>
        </row>
        <row r="173">
          <cell r="A173" t="str">
            <v>P34</v>
          </cell>
          <cell r="B173" t="str">
            <v>Customer accounting, other</v>
          </cell>
          <cell r="C173">
            <v>52514906</v>
          </cell>
          <cell r="D173" t="str">
            <v>Cust Edu-Bill Insert</v>
          </cell>
          <cell r="E173" t="str">
            <v>675.8</v>
          </cell>
          <cell r="F173">
            <v>1666</v>
          </cell>
          <cell r="G173">
            <v>1666</v>
          </cell>
          <cell r="H173">
            <v>1666</v>
          </cell>
          <cell r="I173">
            <v>1666</v>
          </cell>
          <cell r="J173">
            <v>1666</v>
          </cell>
          <cell r="K173">
            <v>1666</v>
          </cell>
          <cell r="L173">
            <v>0</v>
          </cell>
          <cell r="M173">
            <v>0</v>
          </cell>
          <cell r="N173">
            <v>0</v>
          </cell>
          <cell r="O173">
            <v>0</v>
          </cell>
          <cell r="P173">
            <v>0</v>
          </cell>
          <cell r="Q173">
            <v>0</v>
          </cell>
          <cell r="R173">
            <v>9996</v>
          </cell>
        </row>
        <row r="174">
          <cell r="A174" t="str">
            <v>P34</v>
          </cell>
          <cell r="B174" t="str">
            <v>Customer accounting, other</v>
          </cell>
          <cell r="C174">
            <v>52520000</v>
          </cell>
          <cell r="D174" t="str">
            <v>Collection Agencies</v>
          </cell>
          <cell r="E174" t="str">
            <v>675.7</v>
          </cell>
          <cell r="F174">
            <v>18958</v>
          </cell>
          <cell r="G174">
            <v>18958</v>
          </cell>
          <cell r="H174">
            <v>18958</v>
          </cell>
          <cell r="I174">
            <v>18958</v>
          </cell>
          <cell r="J174">
            <v>18958</v>
          </cell>
          <cell r="K174">
            <v>18958</v>
          </cell>
          <cell r="L174">
            <v>0</v>
          </cell>
          <cell r="M174">
            <v>0</v>
          </cell>
          <cell r="N174">
            <v>0</v>
          </cell>
          <cell r="O174">
            <v>0</v>
          </cell>
          <cell r="P174">
            <v>0</v>
          </cell>
          <cell r="Q174">
            <v>0</v>
          </cell>
          <cell r="R174">
            <v>113748</v>
          </cell>
        </row>
        <row r="175">
          <cell r="A175" t="str">
            <v>P34</v>
          </cell>
          <cell r="B175" t="str">
            <v>Customer accounting, other</v>
          </cell>
          <cell r="C175">
            <v>52542015</v>
          </cell>
          <cell r="D175" t="str">
            <v>Forms CA</v>
          </cell>
          <cell r="E175" t="str">
            <v>675.7</v>
          </cell>
          <cell r="F175">
            <v>13627</v>
          </cell>
          <cell r="G175">
            <v>13627</v>
          </cell>
          <cell r="H175">
            <v>13627</v>
          </cell>
          <cell r="I175">
            <v>13627</v>
          </cell>
          <cell r="J175">
            <v>13627</v>
          </cell>
          <cell r="K175">
            <v>13627</v>
          </cell>
          <cell r="L175">
            <v>0</v>
          </cell>
          <cell r="M175">
            <v>0</v>
          </cell>
          <cell r="N175">
            <v>0</v>
          </cell>
          <cell r="O175">
            <v>0</v>
          </cell>
          <cell r="P175">
            <v>0</v>
          </cell>
          <cell r="Q175">
            <v>0</v>
          </cell>
          <cell r="R175">
            <v>81762</v>
          </cell>
        </row>
        <row r="176">
          <cell r="A176" t="str">
            <v>P34</v>
          </cell>
          <cell r="B176" t="str">
            <v>Customer accounting, other</v>
          </cell>
          <cell r="C176">
            <v>52566015</v>
          </cell>
          <cell r="D176" t="str">
            <v>Postage CA</v>
          </cell>
          <cell r="E176" t="str">
            <v>675.7</v>
          </cell>
          <cell r="F176">
            <v>47716</v>
          </cell>
          <cell r="G176">
            <v>47716</v>
          </cell>
          <cell r="H176">
            <v>47716</v>
          </cell>
          <cell r="I176">
            <v>47716</v>
          </cell>
          <cell r="J176">
            <v>47716</v>
          </cell>
          <cell r="K176">
            <v>47716</v>
          </cell>
          <cell r="L176">
            <v>0</v>
          </cell>
          <cell r="M176">
            <v>0</v>
          </cell>
          <cell r="N176">
            <v>0</v>
          </cell>
          <cell r="O176">
            <v>0</v>
          </cell>
          <cell r="P176">
            <v>0</v>
          </cell>
          <cell r="Q176">
            <v>0</v>
          </cell>
          <cell r="R176">
            <v>286296</v>
          </cell>
        </row>
        <row r="177">
          <cell r="A177" t="str">
            <v>P34 Total</v>
          </cell>
          <cell r="B177"/>
          <cell r="C177"/>
          <cell r="D177"/>
          <cell r="E177"/>
          <cell r="F177">
            <v>92499</v>
          </cell>
          <cell r="G177">
            <v>92702</v>
          </cell>
          <cell r="H177">
            <v>93310</v>
          </cell>
          <cell r="I177">
            <v>93451</v>
          </cell>
          <cell r="J177">
            <v>93825</v>
          </cell>
          <cell r="K177">
            <v>92568</v>
          </cell>
          <cell r="L177">
            <v>101476</v>
          </cell>
          <cell r="M177">
            <v>103009</v>
          </cell>
          <cell r="N177">
            <v>100911</v>
          </cell>
          <cell r="O177">
            <v>103965</v>
          </cell>
          <cell r="P177">
            <v>114001</v>
          </cell>
          <cell r="Q177">
            <v>107480</v>
          </cell>
          <cell r="R177">
            <v>1189197</v>
          </cell>
        </row>
        <row r="178">
          <cell r="A178" t="str">
            <v>P35</v>
          </cell>
          <cell r="B178" t="str">
            <v>Regulatory expense</v>
          </cell>
          <cell r="C178">
            <v>56610000</v>
          </cell>
          <cell r="D178" t="str">
            <v>Reg Exp-Amort</v>
          </cell>
          <cell r="E178" t="str">
            <v>666.8</v>
          </cell>
          <cell r="F178">
            <v>24115</v>
          </cell>
          <cell r="G178">
            <v>51893</v>
          </cell>
          <cell r="H178">
            <v>28390</v>
          </cell>
          <cell r="I178">
            <v>28390</v>
          </cell>
          <cell r="J178">
            <v>28390</v>
          </cell>
          <cell r="K178">
            <v>28390</v>
          </cell>
          <cell r="L178">
            <v>27855</v>
          </cell>
          <cell r="M178">
            <v>27855</v>
          </cell>
          <cell r="N178">
            <v>27855</v>
          </cell>
          <cell r="O178">
            <v>27855</v>
          </cell>
          <cell r="P178">
            <v>27855</v>
          </cell>
          <cell r="Q178">
            <v>27855</v>
          </cell>
          <cell r="R178">
            <v>356698</v>
          </cell>
        </row>
        <row r="179">
          <cell r="A179" t="str">
            <v>P35</v>
          </cell>
          <cell r="B179" t="str">
            <v>Regulatory expense</v>
          </cell>
          <cell r="C179">
            <v>56620000</v>
          </cell>
          <cell r="D179" t="str">
            <v>Reg Exp-Depr Stdy</v>
          </cell>
          <cell r="E179" t="str">
            <v>667.8</v>
          </cell>
          <cell r="F179">
            <v>0</v>
          </cell>
          <cell r="G179">
            <v>0</v>
          </cell>
          <cell r="H179">
            <v>0</v>
          </cell>
          <cell r="I179">
            <v>0</v>
          </cell>
          <cell r="J179">
            <v>0</v>
          </cell>
          <cell r="K179">
            <v>0</v>
          </cell>
          <cell r="L179">
            <v>0</v>
          </cell>
          <cell r="M179">
            <v>0</v>
          </cell>
          <cell r="N179">
            <v>0</v>
          </cell>
          <cell r="O179">
            <v>0</v>
          </cell>
          <cell r="P179">
            <v>0</v>
          </cell>
          <cell r="Q179">
            <v>0</v>
          </cell>
          <cell r="R179">
            <v>0</v>
          </cell>
        </row>
        <row r="180">
          <cell r="A180" t="str">
            <v>P35 Total</v>
          </cell>
          <cell r="B180"/>
          <cell r="C180"/>
          <cell r="D180"/>
          <cell r="E180"/>
          <cell r="F180">
            <v>24115</v>
          </cell>
          <cell r="G180">
            <v>51893</v>
          </cell>
          <cell r="H180">
            <v>28390</v>
          </cell>
          <cell r="I180">
            <v>28390</v>
          </cell>
          <cell r="J180">
            <v>28390</v>
          </cell>
          <cell r="K180">
            <v>28390</v>
          </cell>
          <cell r="L180">
            <v>27855</v>
          </cell>
          <cell r="M180">
            <v>27855</v>
          </cell>
          <cell r="N180">
            <v>27855</v>
          </cell>
          <cell r="O180">
            <v>27855</v>
          </cell>
          <cell r="P180">
            <v>27855</v>
          </cell>
          <cell r="Q180">
            <v>27855</v>
          </cell>
          <cell r="R180">
            <v>356698</v>
          </cell>
        </row>
        <row r="181">
          <cell r="A181" t="str">
            <v>P36</v>
          </cell>
          <cell r="B181" t="str">
            <v>Insurance other than group</v>
          </cell>
          <cell r="C181">
            <v>55110000</v>
          </cell>
          <cell r="D181" t="str">
            <v>Ins Vehicle</v>
          </cell>
          <cell r="E181" t="str">
            <v>656.8</v>
          </cell>
          <cell r="F181">
            <v>2313</v>
          </cell>
          <cell r="G181">
            <v>2313</v>
          </cell>
          <cell r="H181">
            <v>2313</v>
          </cell>
          <cell r="I181">
            <v>2313</v>
          </cell>
          <cell r="J181">
            <v>2313</v>
          </cell>
          <cell r="K181">
            <v>2313</v>
          </cell>
          <cell r="L181">
            <v>0</v>
          </cell>
          <cell r="M181">
            <v>0</v>
          </cell>
          <cell r="N181">
            <v>0</v>
          </cell>
          <cell r="O181">
            <v>0</v>
          </cell>
          <cell r="P181">
            <v>0</v>
          </cell>
          <cell r="Q181">
            <v>0</v>
          </cell>
          <cell r="R181">
            <v>13878</v>
          </cell>
        </row>
        <row r="182">
          <cell r="A182" t="str">
            <v>P36</v>
          </cell>
          <cell r="B182" t="str">
            <v>Insurance other than group</v>
          </cell>
          <cell r="C182">
            <v>55710000</v>
          </cell>
          <cell r="D182" t="str">
            <v>Ins General Liabilty</v>
          </cell>
          <cell r="E182" t="str">
            <v>657.8</v>
          </cell>
          <cell r="F182">
            <v>33067</v>
          </cell>
          <cell r="G182">
            <v>33067</v>
          </cell>
          <cell r="H182">
            <v>33067</v>
          </cell>
          <cell r="I182">
            <v>33067</v>
          </cell>
          <cell r="J182">
            <v>33067</v>
          </cell>
          <cell r="K182">
            <v>33067</v>
          </cell>
          <cell r="L182">
            <v>55720</v>
          </cell>
          <cell r="M182">
            <v>55720</v>
          </cell>
          <cell r="N182">
            <v>55720</v>
          </cell>
          <cell r="O182">
            <v>55720</v>
          </cell>
          <cell r="P182">
            <v>55720</v>
          </cell>
          <cell r="Q182">
            <v>55720</v>
          </cell>
          <cell r="R182">
            <v>532722</v>
          </cell>
        </row>
        <row r="183">
          <cell r="A183" t="str">
            <v>P36</v>
          </cell>
          <cell r="B183" t="str">
            <v>Insurance other than group</v>
          </cell>
          <cell r="C183">
            <v>55715000</v>
          </cell>
          <cell r="D183" t="str">
            <v>Ins General Liab - Intercompany</v>
          </cell>
          <cell r="E183" t="str">
            <v>657.8</v>
          </cell>
          <cell r="F183">
            <v>0</v>
          </cell>
          <cell r="G183">
            <v>0</v>
          </cell>
          <cell r="H183">
            <v>0</v>
          </cell>
          <cell r="I183">
            <v>0</v>
          </cell>
          <cell r="J183">
            <v>0</v>
          </cell>
          <cell r="K183">
            <v>0</v>
          </cell>
          <cell r="L183">
            <v>0</v>
          </cell>
          <cell r="M183">
            <v>0</v>
          </cell>
          <cell r="N183">
            <v>0</v>
          </cell>
          <cell r="O183">
            <v>0</v>
          </cell>
          <cell r="P183">
            <v>0</v>
          </cell>
          <cell r="Q183">
            <v>0</v>
          </cell>
          <cell r="R183">
            <v>0</v>
          </cell>
        </row>
        <row r="184">
          <cell r="A184" t="str">
            <v>P36</v>
          </cell>
          <cell r="B184" t="str">
            <v>Insurance other than group</v>
          </cell>
          <cell r="C184">
            <v>55720000</v>
          </cell>
          <cell r="D184" t="str">
            <v>Ins Work Comp</v>
          </cell>
          <cell r="E184" t="str">
            <v>658.8</v>
          </cell>
          <cell r="F184">
            <v>6445</v>
          </cell>
          <cell r="G184">
            <v>6445</v>
          </cell>
          <cell r="H184">
            <v>6445</v>
          </cell>
          <cell r="I184">
            <v>6445</v>
          </cell>
          <cell r="J184">
            <v>6445</v>
          </cell>
          <cell r="K184">
            <v>6445</v>
          </cell>
          <cell r="L184">
            <v>0</v>
          </cell>
          <cell r="M184">
            <v>0</v>
          </cell>
          <cell r="N184">
            <v>0</v>
          </cell>
          <cell r="O184">
            <v>0</v>
          </cell>
          <cell r="P184">
            <v>0</v>
          </cell>
          <cell r="Q184">
            <v>0</v>
          </cell>
          <cell r="R184">
            <v>38670</v>
          </cell>
        </row>
        <row r="185">
          <cell r="A185" t="str">
            <v>P36</v>
          </cell>
          <cell r="B185" t="str">
            <v>Insurance other than group</v>
          </cell>
          <cell r="C185">
            <v>55720100</v>
          </cell>
          <cell r="D185" t="str">
            <v>Ins W/C Cap Credits</v>
          </cell>
          <cell r="E185" t="str">
            <v>658.8</v>
          </cell>
          <cell r="F185">
            <v>-1715</v>
          </cell>
          <cell r="G185">
            <v>-1715</v>
          </cell>
          <cell r="H185">
            <v>-1715</v>
          </cell>
          <cell r="I185">
            <v>-1715</v>
          </cell>
          <cell r="J185">
            <v>-1715</v>
          </cell>
          <cell r="K185">
            <v>-1715</v>
          </cell>
          <cell r="L185">
            <v>0</v>
          </cell>
          <cell r="M185">
            <v>0</v>
          </cell>
          <cell r="N185">
            <v>0</v>
          </cell>
          <cell r="O185">
            <v>0</v>
          </cell>
          <cell r="P185">
            <v>0</v>
          </cell>
          <cell r="Q185">
            <v>0</v>
          </cell>
          <cell r="R185">
            <v>-10290</v>
          </cell>
        </row>
        <row r="186">
          <cell r="A186" t="str">
            <v>P36</v>
          </cell>
          <cell r="B186" t="str">
            <v>Insurance other than group</v>
          </cell>
          <cell r="C186">
            <v>55730000</v>
          </cell>
          <cell r="D186" t="str">
            <v>Ins Other</v>
          </cell>
          <cell r="E186" t="str">
            <v>659.8</v>
          </cell>
          <cell r="F186">
            <v>16310</v>
          </cell>
          <cell r="G186">
            <v>16310</v>
          </cell>
          <cell r="H186">
            <v>16310</v>
          </cell>
          <cell r="I186">
            <v>16310</v>
          </cell>
          <cell r="J186">
            <v>61942</v>
          </cell>
          <cell r="K186">
            <v>16310</v>
          </cell>
          <cell r="L186">
            <v>0</v>
          </cell>
          <cell r="M186">
            <v>0</v>
          </cell>
          <cell r="N186">
            <v>0</v>
          </cell>
          <cell r="O186">
            <v>0</v>
          </cell>
          <cell r="P186">
            <v>0</v>
          </cell>
          <cell r="Q186">
            <v>0</v>
          </cell>
          <cell r="R186">
            <v>143492</v>
          </cell>
        </row>
        <row r="187">
          <cell r="A187" t="str">
            <v>P36 Total</v>
          </cell>
          <cell r="B187"/>
          <cell r="C187"/>
          <cell r="D187"/>
          <cell r="E187"/>
          <cell r="F187">
            <v>56420</v>
          </cell>
          <cell r="G187">
            <v>56420</v>
          </cell>
          <cell r="H187">
            <v>56420</v>
          </cell>
          <cell r="I187">
            <v>56420</v>
          </cell>
          <cell r="J187">
            <v>102052</v>
          </cell>
          <cell r="K187">
            <v>56420</v>
          </cell>
          <cell r="L187">
            <v>55720</v>
          </cell>
          <cell r="M187">
            <v>55720</v>
          </cell>
          <cell r="N187">
            <v>55720</v>
          </cell>
          <cell r="O187">
            <v>55720</v>
          </cell>
          <cell r="P187">
            <v>55720</v>
          </cell>
          <cell r="Q187">
            <v>55720</v>
          </cell>
          <cell r="R187">
            <v>718472</v>
          </cell>
        </row>
        <row r="188">
          <cell r="A188" t="str">
            <v>P37</v>
          </cell>
          <cell r="B188" t="str">
            <v>Maintenance supplies and services</v>
          </cell>
          <cell r="C188">
            <v>62002000</v>
          </cell>
          <cell r="D188" t="str">
            <v>M&amp;S Maint</v>
          </cell>
          <cell r="E188" t="str">
            <v>620.8</v>
          </cell>
          <cell r="F188">
            <v>0</v>
          </cell>
          <cell r="G188">
            <v>0</v>
          </cell>
          <cell r="H188">
            <v>0</v>
          </cell>
          <cell r="I188">
            <v>0</v>
          </cell>
          <cell r="J188">
            <v>0</v>
          </cell>
          <cell r="K188">
            <v>0</v>
          </cell>
          <cell r="L188">
            <v>0</v>
          </cell>
          <cell r="M188">
            <v>0</v>
          </cell>
          <cell r="N188">
            <v>0</v>
          </cell>
          <cell r="O188">
            <v>0</v>
          </cell>
          <cell r="P188">
            <v>0</v>
          </cell>
          <cell r="Q188">
            <v>0</v>
          </cell>
          <cell r="R188">
            <v>0</v>
          </cell>
        </row>
        <row r="189">
          <cell r="A189" t="str">
            <v>P37</v>
          </cell>
          <cell r="B189" t="str">
            <v>Maintenance supplies and services</v>
          </cell>
          <cell r="C189">
            <v>62002100</v>
          </cell>
          <cell r="D189" t="str">
            <v>M&amp;S Maint SS</v>
          </cell>
          <cell r="E189" t="str">
            <v>620.2</v>
          </cell>
          <cell r="F189">
            <v>818</v>
          </cell>
          <cell r="G189">
            <v>818</v>
          </cell>
          <cell r="H189">
            <v>818</v>
          </cell>
          <cell r="I189">
            <v>818</v>
          </cell>
          <cell r="J189">
            <v>818</v>
          </cell>
          <cell r="K189">
            <v>818</v>
          </cell>
          <cell r="L189">
            <v>185769</v>
          </cell>
          <cell r="M189">
            <v>185769</v>
          </cell>
          <cell r="N189">
            <v>185769</v>
          </cell>
          <cell r="O189">
            <v>185769</v>
          </cell>
          <cell r="P189">
            <v>185769</v>
          </cell>
          <cell r="Q189">
            <v>185769</v>
          </cell>
          <cell r="R189">
            <v>1119522</v>
          </cell>
        </row>
        <row r="190">
          <cell r="A190" t="str">
            <v>P37</v>
          </cell>
          <cell r="B190" t="str">
            <v>Maintenance supplies and services</v>
          </cell>
          <cell r="C190">
            <v>62002300</v>
          </cell>
          <cell r="D190" t="str">
            <v>M&amp;S Maint WT</v>
          </cell>
          <cell r="E190" t="str">
            <v>620.4</v>
          </cell>
          <cell r="F190">
            <v>12933</v>
          </cell>
          <cell r="G190">
            <v>12933</v>
          </cell>
          <cell r="H190">
            <v>12933</v>
          </cell>
          <cell r="I190">
            <v>12933</v>
          </cell>
          <cell r="J190">
            <v>12933</v>
          </cell>
          <cell r="K190">
            <v>12937</v>
          </cell>
          <cell r="L190">
            <v>0</v>
          </cell>
          <cell r="M190">
            <v>0</v>
          </cell>
          <cell r="N190">
            <v>0</v>
          </cell>
          <cell r="O190">
            <v>0</v>
          </cell>
          <cell r="P190">
            <v>0</v>
          </cell>
          <cell r="Q190">
            <v>0</v>
          </cell>
          <cell r="R190">
            <v>77602</v>
          </cell>
        </row>
        <row r="191">
          <cell r="A191" t="str">
            <v>P37</v>
          </cell>
          <cell r="B191" t="str">
            <v>Maintenance supplies and services</v>
          </cell>
          <cell r="C191">
            <v>62002400</v>
          </cell>
          <cell r="D191" t="str">
            <v>M&amp;S Maint TD</v>
          </cell>
          <cell r="E191" t="str">
            <v>620.6</v>
          </cell>
          <cell r="F191">
            <v>13043</v>
          </cell>
          <cell r="G191">
            <v>13043</v>
          </cell>
          <cell r="H191">
            <v>13043</v>
          </cell>
          <cell r="I191">
            <v>13043</v>
          </cell>
          <cell r="J191">
            <v>13043</v>
          </cell>
          <cell r="K191">
            <v>13043</v>
          </cell>
          <cell r="L191">
            <v>0</v>
          </cell>
          <cell r="M191">
            <v>0</v>
          </cell>
          <cell r="N191">
            <v>0</v>
          </cell>
          <cell r="O191">
            <v>0</v>
          </cell>
          <cell r="P191">
            <v>0</v>
          </cell>
          <cell r="Q191">
            <v>0</v>
          </cell>
          <cell r="R191">
            <v>78258</v>
          </cell>
        </row>
        <row r="192">
          <cell r="A192" t="str">
            <v>P37</v>
          </cell>
          <cell r="B192" t="str">
            <v>Maintenance supplies and services</v>
          </cell>
          <cell r="C192">
            <v>62002600</v>
          </cell>
          <cell r="D192" t="str">
            <v>M&amp;S Maint AG</v>
          </cell>
          <cell r="E192" t="str">
            <v>620.8</v>
          </cell>
          <cell r="F192">
            <v>0</v>
          </cell>
          <cell r="G192">
            <v>0</v>
          </cell>
          <cell r="H192">
            <v>0</v>
          </cell>
          <cell r="I192">
            <v>0</v>
          </cell>
          <cell r="J192">
            <v>0</v>
          </cell>
          <cell r="K192">
            <v>0</v>
          </cell>
          <cell r="L192">
            <v>0</v>
          </cell>
          <cell r="M192">
            <v>0</v>
          </cell>
          <cell r="N192">
            <v>0</v>
          </cell>
          <cell r="O192">
            <v>0</v>
          </cell>
          <cell r="P192">
            <v>0</v>
          </cell>
          <cell r="Q192">
            <v>0</v>
          </cell>
          <cell r="R192">
            <v>0</v>
          </cell>
        </row>
        <row r="193">
          <cell r="A193" t="str">
            <v>P37</v>
          </cell>
          <cell r="B193" t="str">
            <v>Maintenance supplies and services</v>
          </cell>
          <cell r="C193">
            <v>62502100</v>
          </cell>
          <cell r="D193" t="str">
            <v>M&amp;S Maint</v>
          </cell>
          <cell r="E193" t="str">
            <v>675.2</v>
          </cell>
          <cell r="F193">
            <v>350</v>
          </cell>
          <cell r="G193">
            <v>350</v>
          </cell>
          <cell r="H193">
            <v>350</v>
          </cell>
          <cell r="I193">
            <v>350</v>
          </cell>
          <cell r="J193">
            <v>350</v>
          </cell>
          <cell r="K193">
            <v>350</v>
          </cell>
          <cell r="L193">
            <v>0</v>
          </cell>
          <cell r="M193">
            <v>0</v>
          </cell>
          <cell r="N193">
            <v>0</v>
          </cell>
          <cell r="O193">
            <v>0</v>
          </cell>
          <cell r="P193">
            <v>0</v>
          </cell>
          <cell r="Q193">
            <v>0</v>
          </cell>
          <cell r="R193">
            <v>2100</v>
          </cell>
        </row>
        <row r="194">
          <cell r="A194" t="str">
            <v>P37</v>
          </cell>
          <cell r="B194" t="str">
            <v>Maintenance supplies and services</v>
          </cell>
          <cell r="C194">
            <v>62502300</v>
          </cell>
          <cell r="D194" t="str">
            <v>M&amp;S Maint</v>
          </cell>
          <cell r="E194" t="str">
            <v>675.4</v>
          </cell>
          <cell r="F194">
            <v>7125</v>
          </cell>
          <cell r="G194">
            <v>7125</v>
          </cell>
          <cell r="H194">
            <v>7125</v>
          </cell>
          <cell r="I194">
            <v>7125</v>
          </cell>
          <cell r="J194">
            <v>7125</v>
          </cell>
          <cell r="K194">
            <v>7125</v>
          </cell>
          <cell r="L194">
            <v>0</v>
          </cell>
          <cell r="M194">
            <v>0</v>
          </cell>
          <cell r="N194">
            <v>0</v>
          </cell>
          <cell r="O194">
            <v>0</v>
          </cell>
          <cell r="P194">
            <v>0</v>
          </cell>
          <cell r="Q194">
            <v>0</v>
          </cell>
          <cell r="R194">
            <v>42750</v>
          </cell>
        </row>
        <row r="195">
          <cell r="A195" t="str">
            <v>P37</v>
          </cell>
          <cell r="B195" t="str">
            <v>Maintenance supplies and services</v>
          </cell>
          <cell r="C195">
            <v>62502400</v>
          </cell>
          <cell r="D195" t="str">
            <v>Misc Maint TD</v>
          </cell>
          <cell r="E195" t="str">
            <v>675.6</v>
          </cell>
          <cell r="F195">
            <v>7767</v>
          </cell>
          <cell r="G195">
            <v>7767</v>
          </cell>
          <cell r="H195">
            <v>7767</v>
          </cell>
          <cell r="I195">
            <v>7767</v>
          </cell>
          <cell r="J195">
            <v>7767</v>
          </cell>
          <cell r="K195">
            <v>7767</v>
          </cell>
          <cell r="L195">
            <v>0</v>
          </cell>
          <cell r="M195">
            <v>0</v>
          </cell>
          <cell r="N195">
            <v>0</v>
          </cell>
          <cell r="O195">
            <v>0</v>
          </cell>
          <cell r="P195">
            <v>0</v>
          </cell>
          <cell r="Q195">
            <v>0</v>
          </cell>
          <cell r="R195">
            <v>46602</v>
          </cell>
        </row>
        <row r="196">
          <cell r="A196" t="str">
            <v>P37</v>
          </cell>
          <cell r="B196" t="str">
            <v>Maintenance supplies and services</v>
          </cell>
          <cell r="C196">
            <v>62502600</v>
          </cell>
          <cell r="D196" t="str">
            <v>Misc Maint AG</v>
          </cell>
          <cell r="E196" t="str">
            <v>675.8</v>
          </cell>
          <cell r="F196">
            <v>32403</v>
          </cell>
          <cell r="G196">
            <v>32403</v>
          </cell>
          <cell r="H196">
            <v>32403</v>
          </cell>
          <cell r="I196">
            <v>32403</v>
          </cell>
          <cell r="J196">
            <v>32403</v>
          </cell>
          <cell r="K196">
            <v>32403</v>
          </cell>
          <cell r="L196">
            <v>0</v>
          </cell>
          <cell r="M196">
            <v>0</v>
          </cell>
          <cell r="N196">
            <v>0</v>
          </cell>
          <cell r="O196">
            <v>0</v>
          </cell>
          <cell r="P196">
            <v>0</v>
          </cell>
          <cell r="Q196">
            <v>0</v>
          </cell>
          <cell r="R196">
            <v>194418</v>
          </cell>
        </row>
        <row r="197">
          <cell r="A197" t="str">
            <v>P37</v>
          </cell>
          <cell r="B197" t="str">
            <v>Maintenance supplies and services</v>
          </cell>
          <cell r="C197">
            <v>62510000</v>
          </cell>
          <cell r="D197" t="str">
            <v>Amort Def Maint</v>
          </cell>
          <cell r="E197" t="str">
            <v>675.6</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A198" t="str">
            <v>P37</v>
          </cell>
          <cell r="B198" t="str">
            <v>Maintenance supplies and services</v>
          </cell>
          <cell r="C198">
            <v>62512000</v>
          </cell>
          <cell r="D198" t="str">
            <v>Amort Def Maint</v>
          </cell>
          <cell r="E198" t="str">
            <v>675.6</v>
          </cell>
          <cell r="F198">
            <v>66749</v>
          </cell>
          <cell r="G198">
            <v>66749</v>
          </cell>
          <cell r="H198">
            <v>66749</v>
          </cell>
          <cell r="I198">
            <v>66749</v>
          </cell>
          <cell r="J198">
            <v>66749</v>
          </cell>
          <cell r="K198">
            <v>66749</v>
          </cell>
          <cell r="L198">
            <v>0</v>
          </cell>
          <cell r="M198">
            <v>0</v>
          </cell>
          <cell r="N198">
            <v>0</v>
          </cell>
          <cell r="O198">
            <v>0</v>
          </cell>
          <cell r="P198">
            <v>0</v>
          </cell>
          <cell r="Q198">
            <v>0</v>
          </cell>
          <cell r="R198">
            <v>400494</v>
          </cell>
        </row>
        <row r="199">
          <cell r="A199" t="str">
            <v>P37</v>
          </cell>
          <cell r="B199" t="str">
            <v>Maintenance supplies and services</v>
          </cell>
          <cell r="C199">
            <v>62520700</v>
          </cell>
          <cell r="D199" t="str">
            <v>Misc Main Pvg/Bckfll</v>
          </cell>
          <cell r="E199" t="str">
            <v>675.6</v>
          </cell>
          <cell r="F199">
            <v>1950</v>
          </cell>
          <cell r="G199">
            <v>1950</v>
          </cell>
          <cell r="H199">
            <v>1950</v>
          </cell>
          <cell r="I199">
            <v>1950</v>
          </cell>
          <cell r="J199">
            <v>1950</v>
          </cell>
          <cell r="K199">
            <v>1950</v>
          </cell>
          <cell r="L199">
            <v>0</v>
          </cell>
          <cell r="M199">
            <v>0</v>
          </cell>
          <cell r="N199">
            <v>0</v>
          </cell>
          <cell r="O199">
            <v>0</v>
          </cell>
          <cell r="P199">
            <v>0</v>
          </cell>
          <cell r="Q199">
            <v>0</v>
          </cell>
          <cell r="R199">
            <v>11700</v>
          </cell>
        </row>
        <row r="200">
          <cell r="A200" t="str">
            <v>P37</v>
          </cell>
          <cell r="B200" t="str">
            <v>Maintenance supplies and services</v>
          </cell>
          <cell r="C200">
            <v>63110000</v>
          </cell>
          <cell r="D200" t="str">
            <v>Contract Svc - Other Maint</v>
          </cell>
          <cell r="E200" t="str">
            <v>631.6</v>
          </cell>
          <cell r="F200">
            <v>25743</v>
          </cell>
          <cell r="G200">
            <v>25743</v>
          </cell>
          <cell r="H200">
            <v>25743</v>
          </cell>
          <cell r="I200">
            <v>25743</v>
          </cell>
          <cell r="J200">
            <v>25743</v>
          </cell>
          <cell r="K200">
            <v>25743</v>
          </cell>
          <cell r="L200">
            <v>0</v>
          </cell>
          <cell r="M200">
            <v>0</v>
          </cell>
          <cell r="N200">
            <v>0</v>
          </cell>
          <cell r="O200">
            <v>0</v>
          </cell>
          <cell r="P200">
            <v>0</v>
          </cell>
          <cell r="Q200">
            <v>0</v>
          </cell>
          <cell r="R200">
            <v>154458</v>
          </cell>
        </row>
        <row r="201">
          <cell r="A201" t="str">
            <v>P37 Total</v>
          </cell>
          <cell r="B201"/>
          <cell r="C201"/>
          <cell r="D201"/>
          <cell r="E201"/>
          <cell r="F201">
            <v>168881</v>
          </cell>
          <cell r="G201">
            <v>168881</v>
          </cell>
          <cell r="H201">
            <v>168881</v>
          </cell>
          <cell r="I201">
            <v>168881</v>
          </cell>
          <cell r="J201">
            <v>168881</v>
          </cell>
          <cell r="K201">
            <v>168885</v>
          </cell>
          <cell r="L201">
            <v>185769</v>
          </cell>
          <cell r="M201">
            <v>185769</v>
          </cell>
          <cell r="N201">
            <v>185769</v>
          </cell>
          <cell r="O201">
            <v>185769</v>
          </cell>
          <cell r="P201">
            <v>185769</v>
          </cell>
          <cell r="Q201">
            <v>185769</v>
          </cell>
          <cell r="R201">
            <v>2127904</v>
          </cell>
        </row>
        <row r="202">
          <cell r="A202" t="str">
            <v>P40</v>
          </cell>
          <cell r="B202" t="str">
            <v>Depreciation</v>
          </cell>
          <cell r="C202">
            <v>68011000</v>
          </cell>
          <cell r="D202" t="str">
            <v>Depr -UPIS General</v>
          </cell>
          <cell r="E202" t="str">
            <v>403.</v>
          </cell>
          <cell r="F202">
            <v>1344955</v>
          </cell>
          <cell r="G202">
            <v>1348980</v>
          </cell>
          <cell r="H202">
            <v>1355974</v>
          </cell>
          <cell r="I202">
            <v>1360436</v>
          </cell>
          <cell r="J202">
            <v>1363838</v>
          </cell>
          <cell r="K202">
            <v>1365390</v>
          </cell>
          <cell r="L202">
            <v>1270179</v>
          </cell>
          <cell r="M202">
            <v>1270917</v>
          </cell>
          <cell r="N202">
            <v>1271765</v>
          </cell>
          <cell r="O202">
            <v>1272859</v>
          </cell>
          <cell r="P202">
            <v>1274881</v>
          </cell>
          <cell r="Q202">
            <v>1280163</v>
          </cell>
          <cell r="R202">
            <v>15780337</v>
          </cell>
        </row>
        <row r="203">
          <cell r="A203" t="str">
            <v>P40</v>
          </cell>
          <cell r="B203" t="str">
            <v>Depreciation</v>
          </cell>
          <cell r="C203">
            <v>68012000</v>
          </cell>
          <cell r="D203" t="str">
            <v>Depr -Amort CIAC Tx</v>
          </cell>
          <cell r="E203" t="str">
            <v>403.</v>
          </cell>
          <cell r="F203">
            <v>-27433</v>
          </cell>
          <cell r="G203">
            <v>-27804</v>
          </cell>
          <cell r="H203">
            <v>-28175</v>
          </cell>
          <cell r="I203">
            <v>-28546</v>
          </cell>
          <cell r="J203">
            <v>-28917</v>
          </cell>
          <cell r="K203">
            <v>-29288</v>
          </cell>
          <cell r="L203">
            <v>0</v>
          </cell>
          <cell r="M203">
            <v>0</v>
          </cell>
          <cell r="N203">
            <v>0</v>
          </cell>
          <cell r="O203">
            <v>0</v>
          </cell>
          <cell r="P203">
            <v>0</v>
          </cell>
          <cell r="Q203">
            <v>0</v>
          </cell>
          <cell r="R203">
            <v>-170163</v>
          </cell>
        </row>
        <row r="204">
          <cell r="A204" t="str">
            <v>P40</v>
          </cell>
          <cell r="B204" t="str">
            <v>Depreciation</v>
          </cell>
          <cell r="C204">
            <v>68012500</v>
          </cell>
          <cell r="D204" t="str">
            <v>Depr-Amort CIAC Nntx</v>
          </cell>
          <cell r="E204" t="str">
            <v>403.</v>
          </cell>
          <cell r="F204">
            <v>-119028</v>
          </cell>
          <cell r="G204">
            <v>-119028</v>
          </cell>
          <cell r="H204">
            <v>-119028</v>
          </cell>
          <cell r="I204">
            <v>-119028</v>
          </cell>
          <cell r="J204">
            <v>-119028</v>
          </cell>
          <cell r="K204">
            <v>-119028</v>
          </cell>
          <cell r="L204">
            <v>0</v>
          </cell>
          <cell r="M204">
            <v>0</v>
          </cell>
          <cell r="N204">
            <v>0</v>
          </cell>
          <cell r="O204">
            <v>0</v>
          </cell>
          <cell r="P204">
            <v>0</v>
          </cell>
          <cell r="Q204">
            <v>0</v>
          </cell>
          <cell r="R204">
            <v>-714168</v>
          </cell>
        </row>
        <row r="205">
          <cell r="A205" t="str">
            <v>P40 Total</v>
          </cell>
          <cell r="B205"/>
          <cell r="C205"/>
          <cell r="D205"/>
          <cell r="E205"/>
          <cell r="F205">
            <v>1198494</v>
          </cell>
          <cell r="G205">
            <v>1202148</v>
          </cell>
          <cell r="H205">
            <v>1208771</v>
          </cell>
          <cell r="I205">
            <v>1212862</v>
          </cell>
          <cell r="J205">
            <v>1215893</v>
          </cell>
          <cell r="K205">
            <v>1217074</v>
          </cell>
          <cell r="L205">
            <v>1270179</v>
          </cell>
          <cell r="M205">
            <v>1270917</v>
          </cell>
          <cell r="N205">
            <v>1271765</v>
          </cell>
          <cell r="O205">
            <v>1272859</v>
          </cell>
          <cell r="P205">
            <v>1274881</v>
          </cell>
          <cell r="Q205">
            <v>1280163</v>
          </cell>
          <cell r="R205">
            <v>14896006</v>
          </cell>
        </row>
        <row r="206">
          <cell r="A206" t="str">
            <v>P41</v>
          </cell>
          <cell r="B206" t="str">
            <v>Amortization</v>
          </cell>
          <cell r="C206">
            <v>68251000</v>
          </cell>
          <cell r="D206" t="str">
            <v>Amort-Ltd Term Plant</v>
          </cell>
          <cell r="E206" t="str">
            <v>407.1</v>
          </cell>
          <cell r="F206">
            <v>0</v>
          </cell>
          <cell r="G206">
            <v>0</v>
          </cell>
          <cell r="H206">
            <v>0</v>
          </cell>
          <cell r="I206">
            <v>0</v>
          </cell>
          <cell r="J206">
            <v>0</v>
          </cell>
          <cell r="K206">
            <v>0</v>
          </cell>
          <cell r="L206">
            <v>0</v>
          </cell>
          <cell r="M206">
            <v>0</v>
          </cell>
          <cell r="N206">
            <v>0</v>
          </cell>
          <cell r="O206">
            <v>0</v>
          </cell>
          <cell r="P206">
            <v>0</v>
          </cell>
          <cell r="Q206">
            <v>0</v>
          </cell>
          <cell r="R206">
            <v>0</v>
          </cell>
        </row>
        <row r="207">
          <cell r="A207" t="str">
            <v>P41</v>
          </cell>
          <cell r="B207" t="str">
            <v>Amortization</v>
          </cell>
          <cell r="C207">
            <v>68254000</v>
          </cell>
          <cell r="D207" t="str">
            <v>Amort-RegAsset AFUDC</v>
          </cell>
          <cell r="E207" t="str">
            <v>407.1</v>
          </cell>
          <cell r="F207">
            <v>17196</v>
          </cell>
          <cell r="G207">
            <v>17196</v>
          </cell>
          <cell r="H207">
            <v>17196</v>
          </cell>
          <cell r="I207">
            <v>17196</v>
          </cell>
          <cell r="J207">
            <v>17196</v>
          </cell>
          <cell r="K207">
            <v>17196</v>
          </cell>
          <cell r="L207">
            <v>23241</v>
          </cell>
          <cell r="M207">
            <v>23241</v>
          </cell>
          <cell r="N207">
            <v>23241</v>
          </cell>
          <cell r="O207">
            <v>23241</v>
          </cell>
          <cell r="P207">
            <v>23241</v>
          </cell>
          <cell r="Q207">
            <v>23241</v>
          </cell>
          <cell r="R207">
            <v>242622</v>
          </cell>
        </row>
        <row r="208">
          <cell r="A208" t="str">
            <v>P41</v>
          </cell>
          <cell r="B208" t="str">
            <v>Amortization</v>
          </cell>
          <cell r="C208">
            <v>68255000</v>
          </cell>
          <cell r="D208" t="str">
            <v>Amort-UPAA</v>
          </cell>
          <cell r="E208" t="str">
            <v>406.</v>
          </cell>
          <cell r="F208">
            <v>713</v>
          </cell>
          <cell r="G208">
            <v>713</v>
          </cell>
          <cell r="H208">
            <v>713</v>
          </cell>
          <cell r="I208">
            <v>713</v>
          </cell>
          <cell r="J208">
            <v>713</v>
          </cell>
          <cell r="K208">
            <v>713</v>
          </cell>
          <cell r="L208">
            <v>0</v>
          </cell>
          <cell r="M208">
            <v>0</v>
          </cell>
          <cell r="N208">
            <v>0</v>
          </cell>
          <cell r="O208">
            <v>0</v>
          </cell>
          <cell r="P208">
            <v>0</v>
          </cell>
          <cell r="Q208">
            <v>0</v>
          </cell>
          <cell r="R208">
            <v>4278</v>
          </cell>
        </row>
        <row r="209">
          <cell r="A209" t="str">
            <v>P41</v>
          </cell>
          <cell r="B209" t="str">
            <v>Amortization</v>
          </cell>
          <cell r="C209">
            <v>68257000</v>
          </cell>
          <cell r="D209" t="str">
            <v>Amort-Prop Losses</v>
          </cell>
          <cell r="E209" t="str">
            <v>407.2</v>
          </cell>
          <cell r="F209">
            <v>4757</v>
          </cell>
          <cell r="G209">
            <v>4757</v>
          </cell>
          <cell r="H209">
            <v>4757</v>
          </cell>
          <cell r="I209">
            <v>4757</v>
          </cell>
          <cell r="J209">
            <v>4757</v>
          </cell>
          <cell r="K209">
            <v>4757</v>
          </cell>
          <cell r="L209">
            <v>0</v>
          </cell>
          <cell r="M209">
            <v>0</v>
          </cell>
          <cell r="N209">
            <v>0</v>
          </cell>
          <cell r="O209">
            <v>0</v>
          </cell>
          <cell r="P209">
            <v>0</v>
          </cell>
          <cell r="Q209">
            <v>0</v>
          </cell>
          <cell r="R209">
            <v>28542</v>
          </cell>
        </row>
        <row r="210">
          <cell r="A210" t="str">
            <v>P41</v>
          </cell>
          <cell r="B210" t="str">
            <v>Amortization</v>
          </cell>
          <cell r="C210">
            <v>68258000</v>
          </cell>
          <cell r="D210" t="str">
            <v>Amort-Reg Asset</v>
          </cell>
          <cell r="E210" t="str">
            <v>407.4</v>
          </cell>
          <cell r="F210">
            <v>575</v>
          </cell>
          <cell r="G210">
            <v>575</v>
          </cell>
          <cell r="H210">
            <v>575</v>
          </cell>
          <cell r="I210">
            <v>575</v>
          </cell>
          <cell r="J210">
            <v>575</v>
          </cell>
          <cell r="K210">
            <v>575</v>
          </cell>
          <cell r="L210">
            <v>0</v>
          </cell>
          <cell r="M210">
            <v>0</v>
          </cell>
          <cell r="N210">
            <v>0</v>
          </cell>
          <cell r="O210">
            <v>0</v>
          </cell>
          <cell r="P210">
            <v>0</v>
          </cell>
          <cell r="Q210">
            <v>0</v>
          </cell>
          <cell r="R210">
            <v>3450</v>
          </cell>
        </row>
        <row r="211">
          <cell r="A211" t="str">
            <v>P41 Total</v>
          </cell>
          <cell r="B211"/>
          <cell r="C211"/>
          <cell r="D211"/>
          <cell r="E211"/>
          <cell r="F211">
            <v>23241</v>
          </cell>
          <cell r="G211">
            <v>23241</v>
          </cell>
          <cell r="H211">
            <v>23241</v>
          </cell>
          <cell r="I211">
            <v>23241</v>
          </cell>
          <cell r="J211">
            <v>23241</v>
          </cell>
          <cell r="K211">
            <v>23241</v>
          </cell>
          <cell r="L211">
            <v>23241</v>
          </cell>
          <cell r="M211">
            <v>23241</v>
          </cell>
          <cell r="N211">
            <v>23241</v>
          </cell>
          <cell r="O211">
            <v>23241</v>
          </cell>
          <cell r="P211">
            <v>23241</v>
          </cell>
          <cell r="Q211">
            <v>23241</v>
          </cell>
          <cell r="R211">
            <v>278892</v>
          </cell>
        </row>
        <row r="212">
          <cell r="A212" t="str">
            <v>P42</v>
          </cell>
          <cell r="B212" t="str">
            <v>Removal costs, net</v>
          </cell>
          <cell r="C212">
            <v>68311000</v>
          </cell>
          <cell r="D212" t="str">
            <v>Rem Costs-ARO/NNS</v>
          </cell>
          <cell r="E212" t="str">
            <v>403.</v>
          </cell>
          <cell r="F212">
            <v>241536</v>
          </cell>
          <cell r="G212">
            <v>242119</v>
          </cell>
          <cell r="H212">
            <v>243227</v>
          </cell>
          <cell r="I212">
            <v>243887</v>
          </cell>
          <cell r="J212">
            <v>244360</v>
          </cell>
          <cell r="K212">
            <v>244504</v>
          </cell>
          <cell r="L212">
            <v>218536</v>
          </cell>
          <cell r="M212">
            <v>218604</v>
          </cell>
          <cell r="N212">
            <v>218693</v>
          </cell>
          <cell r="O212">
            <v>218830</v>
          </cell>
          <cell r="P212">
            <v>219144</v>
          </cell>
          <cell r="Q212">
            <v>219547</v>
          </cell>
          <cell r="R212">
            <v>2772987</v>
          </cell>
        </row>
        <row r="213">
          <cell r="A213" t="str">
            <v>P42</v>
          </cell>
          <cell r="B213" t="str">
            <v>Removal costs, net</v>
          </cell>
          <cell r="C213">
            <v>68312000</v>
          </cell>
          <cell r="D213" t="str">
            <v>Rmv Csts-NNS CIAC Tx</v>
          </cell>
          <cell r="E213" t="str">
            <v>403.</v>
          </cell>
          <cell r="F213">
            <v>-13270</v>
          </cell>
          <cell r="G213">
            <v>-13270</v>
          </cell>
          <cell r="H213">
            <v>-13270</v>
          </cell>
          <cell r="I213">
            <v>-13270</v>
          </cell>
          <cell r="J213">
            <v>-13270</v>
          </cell>
          <cell r="K213">
            <v>-13270</v>
          </cell>
          <cell r="L213">
            <v>0</v>
          </cell>
          <cell r="M213">
            <v>0</v>
          </cell>
          <cell r="N213">
            <v>0</v>
          </cell>
          <cell r="O213">
            <v>0</v>
          </cell>
          <cell r="P213">
            <v>0</v>
          </cell>
          <cell r="Q213">
            <v>0</v>
          </cell>
          <cell r="R213">
            <v>-79620</v>
          </cell>
        </row>
        <row r="214">
          <cell r="A214" t="str">
            <v>P42</v>
          </cell>
          <cell r="B214" t="str">
            <v>Removal costs, net</v>
          </cell>
          <cell r="C214">
            <v>68312500</v>
          </cell>
          <cell r="D214" t="str">
            <v>Rmv Csts-NNS CIAC NT</v>
          </cell>
          <cell r="E214" t="str">
            <v>403.</v>
          </cell>
          <cell r="F214">
            <v>-34788</v>
          </cell>
          <cell r="G214">
            <v>-34788</v>
          </cell>
          <cell r="H214">
            <v>-34788</v>
          </cell>
          <cell r="I214">
            <v>-34788</v>
          </cell>
          <cell r="J214">
            <v>-34788</v>
          </cell>
          <cell r="K214">
            <v>-34788</v>
          </cell>
          <cell r="L214">
            <v>0</v>
          </cell>
          <cell r="M214">
            <v>0</v>
          </cell>
          <cell r="N214">
            <v>0</v>
          </cell>
          <cell r="O214">
            <v>0</v>
          </cell>
          <cell r="P214">
            <v>0</v>
          </cell>
          <cell r="Q214">
            <v>0</v>
          </cell>
          <cell r="R214">
            <v>-208728</v>
          </cell>
        </row>
        <row r="215">
          <cell r="A215" t="str">
            <v>P42 Total</v>
          </cell>
          <cell r="B215"/>
          <cell r="C215"/>
          <cell r="D215"/>
          <cell r="E215"/>
          <cell r="F215">
            <v>193478</v>
          </cell>
          <cell r="G215">
            <v>194061</v>
          </cell>
          <cell r="H215">
            <v>195169</v>
          </cell>
          <cell r="I215">
            <v>195829</v>
          </cell>
          <cell r="J215">
            <v>196302</v>
          </cell>
          <cell r="K215">
            <v>196446</v>
          </cell>
          <cell r="L215">
            <v>218536</v>
          </cell>
          <cell r="M215">
            <v>218604</v>
          </cell>
          <cell r="N215">
            <v>218693</v>
          </cell>
          <cell r="O215">
            <v>218830</v>
          </cell>
          <cell r="P215">
            <v>219144</v>
          </cell>
          <cell r="Q215">
            <v>219547</v>
          </cell>
          <cell r="R215">
            <v>2484639</v>
          </cell>
        </row>
        <row r="216">
          <cell r="A216" t="str">
            <v>P43</v>
          </cell>
          <cell r="B216" t="str">
            <v>Current federal income taxes - operating</v>
          </cell>
          <cell r="C216">
            <v>69011000</v>
          </cell>
          <cell r="D216" t="str">
            <v>FIT-Current</v>
          </cell>
          <cell r="E216" t="str">
            <v>409.10</v>
          </cell>
          <cell r="F216">
            <v>734371</v>
          </cell>
          <cell r="G216">
            <v>811648</v>
          </cell>
          <cell r="H216">
            <v>721432</v>
          </cell>
          <cell r="I216">
            <v>676809</v>
          </cell>
          <cell r="J216">
            <v>525966</v>
          </cell>
          <cell r="K216">
            <v>375723</v>
          </cell>
          <cell r="L216">
            <v>315178</v>
          </cell>
          <cell r="M216">
            <v>289941</v>
          </cell>
          <cell r="N216">
            <v>329824</v>
          </cell>
          <cell r="O216">
            <v>345755</v>
          </cell>
          <cell r="P216">
            <v>507508</v>
          </cell>
          <cell r="Q216">
            <v>586322</v>
          </cell>
          <cell r="R216">
            <v>6220477</v>
          </cell>
        </row>
        <row r="217">
          <cell r="A217" t="str">
            <v>P43 Total</v>
          </cell>
          <cell r="B217"/>
          <cell r="C217"/>
          <cell r="D217"/>
          <cell r="E217"/>
          <cell r="F217">
            <v>734371</v>
          </cell>
          <cell r="G217">
            <v>811648</v>
          </cell>
          <cell r="H217">
            <v>721432</v>
          </cell>
          <cell r="I217">
            <v>676809</v>
          </cell>
          <cell r="J217">
            <v>525966</v>
          </cell>
          <cell r="K217">
            <v>375723</v>
          </cell>
          <cell r="L217">
            <v>315178</v>
          </cell>
          <cell r="M217">
            <v>289941</v>
          </cell>
          <cell r="N217">
            <v>329824</v>
          </cell>
          <cell r="O217">
            <v>345755</v>
          </cell>
          <cell r="P217">
            <v>507508</v>
          </cell>
          <cell r="Q217">
            <v>586322</v>
          </cell>
          <cell r="R217">
            <v>6220477</v>
          </cell>
        </row>
        <row r="218">
          <cell r="A218" t="str">
            <v>P44</v>
          </cell>
          <cell r="B218" t="str">
            <v>Current state income taxes - operating</v>
          </cell>
          <cell r="C218">
            <v>69021000</v>
          </cell>
          <cell r="D218" t="str">
            <v>SIT-Current</v>
          </cell>
          <cell r="E218" t="str">
            <v>409.11</v>
          </cell>
          <cell r="F218">
            <v>175096</v>
          </cell>
          <cell r="G218">
            <v>194464</v>
          </cell>
          <cell r="H218">
            <v>171853</v>
          </cell>
          <cell r="I218">
            <v>160669</v>
          </cell>
          <cell r="J218">
            <v>122864</v>
          </cell>
          <cell r="K218">
            <v>85209</v>
          </cell>
          <cell r="L218">
            <v>0</v>
          </cell>
          <cell r="M218">
            <v>0</v>
          </cell>
          <cell r="N218">
            <v>0</v>
          </cell>
          <cell r="O218">
            <v>0</v>
          </cell>
          <cell r="P218">
            <v>0</v>
          </cell>
          <cell r="Q218">
            <v>0</v>
          </cell>
          <cell r="R218">
            <v>910155</v>
          </cell>
        </row>
        <row r="219">
          <cell r="A219" t="str">
            <v>P44 Total</v>
          </cell>
          <cell r="B219"/>
          <cell r="C219"/>
          <cell r="D219"/>
          <cell r="E219"/>
          <cell r="F219">
            <v>175096</v>
          </cell>
          <cell r="G219">
            <v>194464</v>
          </cell>
          <cell r="H219">
            <v>171853</v>
          </cell>
          <cell r="I219">
            <v>160669</v>
          </cell>
          <cell r="J219">
            <v>122864</v>
          </cell>
          <cell r="K219">
            <v>85209</v>
          </cell>
          <cell r="L219">
            <v>0</v>
          </cell>
          <cell r="M219">
            <v>0</v>
          </cell>
          <cell r="N219">
            <v>0</v>
          </cell>
          <cell r="O219">
            <v>0</v>
          </cell>
          <cell r="P219">
            <v>0</v>
          </cell>
          <cell r="Q219">
            <v>0</v>
          </cell>
          <cell r="R219">
            <v>910155</v>
          </cell>
        </row>
        <row r="220">
          <cell r="A220" t="str">
            <v>P45</v>
          </cell>
          <cell r="B220" t="str">
            <v>Deferred federal income tax expense</v>
          </cell>
          <cell r="C220">
            <v>69061000</v>
          </cell>
          <cell r="D220" t="str">
            <v>Def FIT-Current Year</v>
          </cell>
          <cell r="E220" t="str">
            <v>410.10</v>
          </cell>
          <cell r="F220">
            <v>-26323</v>
          </cell>
          <cell r="G220">
            <v>-25804</v>
          </cell>
          <cell r="H220">
            <v>-24864</v>
          </cell>
          <cell r="I220">
            <v>-25808</v>
          </cell>
          <cell r="J220">
            <v>-23521</v>
          </cell>
          <cell r="K220">
            <v>-24099</v>
          </cell>
          <cell r="L220">
            <v>0</v>
          </cell>
          <cell r="M220">
            <v>0</v>
          </cell>
          <cell r="N220">
            <v>0</v>
          </cell>
          <cell r="O220">
            <v>0</v>
          </cell>
          <cell r="P220">
            <v>0</v>
          </cell>
          <cell r="Q220">
            <v>0</v>
          </cell>
          <cell r="R220">
            <v>-150419</v>
          </cell>
        </row>
        <row r="221">
          <cell r="A221" t="str">
            <v>P45</v>
          </cell>
          <cell r="B221" t="str">
            <v>Deferred federal income tax expense</v>
          </cell>
          <cell r="C221">
            <v>69063200</v>
          </cell>
          <cell r="D221" t="str">
            <v>Def FIT-Reg Liability</v>
          </cell>
          <cell r="E221" t="str">
            <v>410.10</v>
          </cell>
          <cell r="F221">
            <v>-73309</v>
          </cell>
          <cell r="G221">
            <v>-73309</v>
          </cell>
          <cell r="H221">
            <v>-73309</v>
          </cell>
          <cell r="I221">
            <v>-73309</v>
          </cell>
          <cell r="J221">
            <v>-73309</v>
          </cell>
          <cell r="K221">
            <v>-73309</v>
          </cell>
          <cell r="L221">
            <v>0</v>
          </cell>
          <cell r="M221">
            <v>0</v>
          </cell>
          <cell r="N221">
            <v>0</v>
          </cell>
          <cell r="O221">
            <v>0</v>
          </cell>
          <cell r="P221">
            <v>0</v>
          </cell>
          <cell r="Q221">
            <v>0</v>
          </cell>
          <cell r="R221">
            <v>-439854</v>
          </cell>
        </row>
        <row r="222">
          <cell r="A222" t="str">
            <v>P45</v>
          </cell>
          <cell r="B222" t="str">
            <v>Deferred federal income tax expense</v>
          </cell>
          <cell r="C222">
            <v>69065000</v>
          </cell>
          <cell r="D222" t="str">
            <v>Def FIT-Other</v>
          </cell>
          <cell r="E222" t="str">
            <v>410.10</v>
          </cell>
          <cell r="F222">
            <v>-36034</v>
          </cell>
          <cell r="G222">
            <v>-80175</v>
          </cell>
          <cell r="H222">
            <v>-44415</v>
          </cell>
          <cell r="I222">
            <v>-67705</v>
          </cell>
          <cell r="J222">
            <v>-59073</v>
          </cell>
          <cell r="K222">
            <v>27632</v>
          </cell>
          <cell r="L222">
            <v>0</v>
          </cell>
          <cell r="M222">
            <v>0</v>
          </cell>
          <cell r="N222">
            <v>0</v>
          </cell>
          <cell r="O222">
            <v>0</v>
          </cell>
          <cell r="P222">
            <v>0</v>
          </cell>
          <cell r="Q222">
            <v>0</v>
          </cell>
          <cell r="R222">
            <v>-259770</v>
          </cell>
        </row>
        <row r="223">
          <cell r="A223" t="str">
            <v>P45 Total</v>
          </cell>
          <cell r="B223"/>
          <cell r="C223"/>
          <cell r="D223"/>
          <cell r="E223"/>
          <cell r="F223">
            <v>-135666</v>
          </cell>
          <cell r="G223">
            <v>-179288</v>
          </cell>
          <cell r="H223">
            <v>-142588</v>
          </cell>
          <cell r="I223">
            <v>-166822</v>
          </cell>
          <cell r="J223">
            <v>-155903</v>
          </cell>
          <cell r="K223">
            <v>-69776</v>
          </cell>
          <cell r="L223">
            <v>0</v>
          </cell>
          <cell r="M223">
            <v>0</v>
          </cell>
          <cell r="N223">
            <v>0</v>
          </cell>
          <cell r="O223">
            <v>0</v>
          </cell>
          <cell r="P223">
            <v>0</v>
          </cell>
          <cell r="Q223">
            <v>0</v>
          </cell>
          <cell r="R223">
            <v>-850043</v>
          </cell>
        </row>
        <row r="224">
          <cell r="A224" t="str">
            <v>P46</v>
          </cell>
          <cell r="B224" t="str">
            <v>Deferred state income tax expense</v>
          </cell>
          <cell r="C224">
            <v>69071000</v>
          </cell>
          <cell r="D224" t="str">
            <v>Def SIT-Current Year</v>
          </cell>
          <cell r="E224" t="str">
            <v>410.11</v>
          </cell>
          <cell r="F224">
            <v>-6597</v>
          </cell>
          <cell r="G224">
            <v>-6467</v>
          </cell>
          <cell r="H224">
            <v>-6232</v>
          </cell>
          <cell r="I224">
            <v>-6468</v>
          </cell>
          <cell r="J224">
            <v>-5895</v>
          </cell>
          <cell r="K224">
            <v>-6040</v>
          </cell>
          <cell r="L224">
            <v>0</v>
          </cell>
          <cell r="M224">
            <v>0</v>
          </cell>
          <cell r="N224">
            <v>0</v>
          </cell>
          <cell r="O224">
            <v>0</v>
          </cell>
          <cell r="P224">
            <v>0</v>
          </cell>
          <cell r="Q224">
            <v>0</v>
          </cell>
          <cell r="R224">
            <v>-37699</v>
          </cell>
        </row>
        <row r="225">
          <cell r="A225" t="str">
            <v>P46</v>
          </cell>
          <cell r="B225" t="str">
            <v>Deferred state income tax expense</v>
          </cell>
          <cell r="C225">
            <v>69073200</v>
          </cell>
          <cell r="D225" t="str">
            <v>Def SIT-Reg Liability</v>
          </cell>
          <cell r="E225" t="str">
            <v>410.11</v>
          </cell>
          <cell r="F225">
            <v>-9785</v>
          </cell>
          <cell r="G225">
            <v>-9785</v>
          </cell>
          <cell r="H225">
            <v>-9785</v>
          </cell>
          <cell r="I225">
            <v>-9785</v>
          </cell>
          <cell r="J225">
            <v>-9785</v>
          </cell>
          <cell r="K225">
            <v>-9785</v>
          </cell>
          <cell r="L225">
            <v>0</v>
          </cell>
          <cell r="M225">
            <v>0</v>
          </cell>
          <cell r="N225">
            <v>0</v>
          </cell>
          <cell r="O225">
            <v>0</v>
          </cell>
          <cell r="P225">
            <v>0</v>
          </cell>
          <cell r="Q225">
            <v>0</v>
          </cell>
          <cell r="R225">
            <v>-58710</v>
          </cell>
        </row>
        <row r="226">
          <cell r="A226" t="str">
            <v>P46</v>
          </cell>
          <cell r="B226" t="str">
            <v>Deferred state income tax expense</v>
          </cell>
          <cell r="C226">
            <v>69073500</v>
          </cell>
          <cell r="D226" t="str">
            <v>Def SIT-Other</v>
          </cell>
          <cell r="E226" t="str">
            <v>410.11</v>
          </cell>
          <cell r="F226">
            <v>869</v>
          </cell>
          <cell r="G226">
            <v>-10194</v>
          </cell>
          <cell r="H226">
            <v>-1231</v>
          </cell>
          <cell r="I226">
            <v>-7068</v>
          </cell>
          <cell r="J226">
            <v>-4905</v>
          </cell>
          <cell r="K226">
            <v>16826</v>
          </cell>
          <cell r="L226">
            <v>0</v>
          </cell>
          <cell r="M226">
            <v>0</v>
          </cell>
          <cell r="N226">
            <v>0</v>
          </cell>
          <cell r="O226">
            <v>0</v>
          </cell>
          <cell r="P226">
            <v>0</v>
          </cell>
          <cell r="Q226">
            <v>0</v>
          </cell>
          <cell r="R226">
            <v>-5703</v>
          </cell>
        </row>
        <row r="227">
          <cell r="A227" t="str">
            <v>P46 Total</v>
          </cell>
          <cell r="B227"/>
          <cell r="C227"/>
          <cell r="D227"/>
          <cell r="E227"/>
          <cell r="F227">
            <v>-15513</v>
          </cell>
          <cell r="G227">
            <v>-26446</v>
          </cell>
          <cell r="H227">
            <v>-17248</v>
          </cell>
          <cell r="I227">
            <v>-23321</v>
          </cell>
          <cell r="J227">
            <v>-20585</v>
          </cell>
          <cell r="K227">
            <v>1001</v>
          </cell>
          <cell r="L227">
            <v>0</v>
          </cell>
          <cell r="M227">
            <v>0</v>
          </cell>
          <cell r="N227">
            <v>0</v>
          </cell>
          <cell r="O227">
            <v>0</v>
          </cell>
          <cell r="P227">
            <v>0</v>
          </cell>
          <cell r="Q227">
            <v>0</v>
          </cell>
          <cell r="R227">
            <v>-102112</v>
          </cell>
        </row>
        <row r="228">
          <cell r="A228" t="str">
            <v>P47</v>
          </cell>
          <cell r="B228" t="str">
            <v>Amortization of investment tax credits</v>
          </cell>
          <cell r="C228">
            <v>69520000</v>
          </cell>
          <cell r="D228" t="str">
            <v>ITC Restored FIT</v>
          </cell>
          <cell r="E228" t="str">
            <v>412.11</v>
          </cell>
          <cell r="F228">
            <v>-6541</v>
          </cell>
          <cell r="G228">
            <v>-6541</v>
          </cell>
          <cell r="H228">
            <v>-6541</v>
          </cell>
          <cell r="I228">
            <v>-6541</v>
          </cell>
          <cell r="J228">
            <v>-6541</v>
          </cell>
          <cell r="K228">
            <v>-6541</v>
          </cell>
          <cell r="L228">
            <v>0</v>
          </cell>
          <cell r="M228">
            <v>0</v>
          </cell>
          <cell r="N228">
            <v>0</v>
          </cell>
          <cell r="O228">
            <v>0</v>
          </cell>
          <cell r="P228">
            <v>0</v>
          </cell>
          <cell r="Q228">
            <v>0</v>
          </cell>
          <cell r="R228">
            <v>-39246</v>
          </cell>
        </row>
        <row r="229">
          <cell r="A229" t="str">
            <v>P47 Total</v>
          </cell>
          <cell r="B229"/>
          <cell r="C229"/>
          <cell r="D229"/>
          <cell r="E229"/>
          <cell r="F229">
            <v>-6541</v>
          </cell>
          <cell r="G229">
            <v>-6541</v>
          </cell>
          <cell r="H229">
            <v>-6541</v>
          </cell>
          <cell r="I229">
            <v>-6541</v>
          </cell>
          <cell r="J229">
            <v>-6541</v>
          </cell>
          <cell r="K229">
            <v>-6541</v>
          </cell>
          <cell r="L229">
            <v>0</v>
          </cell>
          <cell r="M229">
            <v>0</v>
          </cell>
          <cell r="N229">
            <v>0</v>
          </cell>
          <cell r="O229">
            <v>0</v>
          </cell>
          <cell r="P229">
            <v>0</v>
          </cell>
          <cell r="Q229">
            <v>0</v>
          </cell>
          <cell r="R229">
            <v>-39246</v>
          </cell>
        </row>
        <row r="230">
          <cell r="A230" t="str">
            <v>P48</v>
          </cell>
          <cell r="B230" t="str">
            <v>General taxes</v>
          </cell>
          <cell r="C230">
            <v>68520000</v>
          </cell>
          <cell r="D230" t="str">
            <v>Property Taxes</v>
          </cell>
          <cell r="E230" t="str">
            <v>408.11</v>
          </cell>
          <cell r="F230">
            <v>518213</v>
          </cell>
          <cell r="G230">
            <v>518213</v>
          </cell>
          <cell r="H230">
            <v>518213</v>
          </cell>
          <cell r="I230">
            <v>518213</v>
          </cell>
          <cell r="J230">
            <v>518213</v>
          </cell>
          <cell r="K230">
            <v>518213</v>
          </cell>
          <cell r="L230">
            <v>600155</v>
          </cell>
          <cell r="M230">
            <v>586993</v>
          </cell>
          <cell r="N230">
            <v>582579</v>
          </cell>
          <cell r="O230">
            <v>584362</v>
          </cell>
          <cell r="P230">
            <v>585363</v>
          </cell>
          <cell r="Q230">
            <v>579040</v>
          </cell>
          <cell r="R230">
            <v>6627770</v>
          </cell>
        </row>
        <row r="231">
          <cell r="A231" t="str">
            <v>P48</v>
          </cell>
          <cell r="B231" t="str">
            <v>General taxes</v>
          </cell>
          <cell r="C231">
            <v>68532000</v>
          </cell>
          <cell r="D231" t="str">
            <v>FUTA</v>
          </cell>
          <cell r="E231" t="str">
            <v>408.12</v>
          </cell>
          <cell r="F231">
            <v>0</v>
          </cell>
          <cell r="G231">
            <v>0</v>
          </cell>
          <cell r="H231">
            <v>0</v>
          </cell>
          <cell r="I231">
            <v>0</v>
          </cell>
          <cell r="J231">
            <v>0</v>
          </cell>
          <cell r="K231">
            <v>0</v>
          </cell>
          <cell r="L231">
            <v>0</v>
          </cell>
          <cell r="M231">
            <v>0</v>
          </cell>
          <cell r="N231">
            <v>0</v>
          </cell>
          <cell r="O231">
            <v>0</v>
          </cell>
          <cell r="P231">
            <v>0</v>
          </cell>
          <cell r="Q231">
            <v>0</v>
          </cell>
          <cell r="R231">
            <v>0</v>
          </cell>
        </row>
        <row r="232">
          <cell r="A232" t="str">
            <v>P48</v>
          </cell>
          <cell r="B232" t="str">
            <v>General taxes</v>
          </cell>
          <cell r="C232">
            <v>68532100</v>
          </cell>
          <cell r="D232" t="str">
            <v>FUTA Cap Credits</v>
          </cell>
          <cell r="E232" t="str">
            <v>408.12</v>
          </cell>
          <cell r="F232">
            <v>0</v>
          </cell>
          <cell r="G232">
            <v>0</v>
          </cell>
          <cell r="H232">
            <v>0</v>
          </cell>
          <cell r="I232">
            <v>0</v>
          </cell>
          <cell r="J232">
            <v>0</v>
          </cell>
          <cell r="K232">
            <v>0</v>
          </cell>
          <cell r="L232">
            <v>0</v>
          </cell>
          <cell r="M232">
            <v>0</v>
          </cell>
          <cell r="N232">
            <v>0</v>
          </cell>
          <cell r="O232">
            <v>0</v>
          </cell>
          <cell r="P232">
            <v>0</v>
          </cell>
          <cell r="Q232">
            <v>0</v>
          </cell>
          <cell r="R232">
            <v>0</v>
          </cell>
        </row>
        <row r="233">
          <cell r="A233" t="str">
            <v>P48</v>
          </cell>
          <cell r="B233" t="str">
            <v>General taxes</v>
          </cell>
          <cell r="C233">
            <v>68533000</v>
          </cell>
          <cell r="D233" t="str">
            <v>FICA</v>
          </cell>
          <cell r="E233" t="str">
            <v>408.12</v>
          </cell>
          <cell r="F233">
            <v>70438</v>
          </cell>
          <cell r="G233">
            <v>67505</v>
          </cell>
          <cell r="H233">
            <v>63662</v>
          </cell>
          <cell r="I233">
            <v>69404</v>
          </cell>
          <cell r="J233">
            <v>64004</v>
          </cell>
          <cell r="K233">
            <v>66109</v>
          </cell>
          <cell r="L233">
            <v>0</v>
          </cell>
          <cell r="M233">
            <v>0</v>
          </cell>
          <cell r="N233">
            <v>0</v>
          </cell>
          <cell r="O233">
            <v>0</v>
          </cell>
          <cell r="P233">
            <v>0</v>
          </cell>
          <cell r="Q233">
            <v>0</v>
          </cell>
          <cell r="R233">
            <v>401122</v>
          </cell>
        </row>
        <row r="234">
          <cell r="A234" t="str">
            <v>P48</v>
          </cell>
          <cell r="B234" t="str">
            <v>General taxes</v>
          </cell>
          <cell r="C234">
            <v>68533100</v>
          </cell>
          <cell r="D234" t="str">
            <v>FICA Cap Credits</v>
          </cell>
          <cell r="E234" t="str">
            <v>408.12</v>
          </cell>
          <cell r="F234">
            <v>-18944</v>
          </cell>
          <cell r="G234">
            <v>-18088</v>
          </cell>
          <cell r="H234">
            <v>-17028</v>
          </cell>
          <cell r="I234">
            <v>-18648</v>
          </cell>
          <cell r="J234">
            <v>-17133</v>
          </cell>
          <cell r="K234">
            <v>-17930</v>
          </cell>
          <cell r="L234">
            <v>0</v>
          </cell>
          <cell r="M234">
            <v>0</v>
          </cell>
          <cell r="N234">
            <v>0</v>
          </cell>
          <cell r="O234">
            <v>0</v>
          </cell>
          <cell r="P234">
            <v>0</v>
          </cell>
          <cell r="Q234">
            <v>0</v>
          </cell>
          <cell r="R234">
            <v>-107771</v>
          </cell>
        </row>
        <row r="235">
          <cell r="A235" t="str">
            <v>P48</v>
          </cell>
          <cell r="B235" t="str">
            <v>General taxes</v>
          </cell>
          <cell r="C235">
            <v>68535000</v>
          </cell>
          <cell r="D235" t="str">
            <v>SUTA</v>
          </cell>
          <cell r="E235" t="str">
            <v>408.12</v>
          </cell>
          <cell r="F235">
            <v>0</v>
          </cell>
          <cell r="G235">
            <v>0</v>
          </cell>
          <cell r="H235">
            <v>0</v>
          </cell>
          <cell r="I235">
            <v>0</v>
          </cell>
          <cell r="J235">
            <v>0</v>
          </cell>
          <cell r="K235">
            <v>0</v>
          </cell>
          <cell r="L235">
            <v>0</v>
          </cell>
          <cell r="M235">
            <v>0</v>
          </cell>
          <cell r="N235">
            <v>0</v>
          </cell>
          <cell r="O235">
            <v>0</v>
          </cell>
          <cell r="P235">
            <v>0</v>
          </cell>
          <cell r="Q235">
            <v>0</v>
          </cell>
          <cell r="R235">
            <v>0</v>
          </cell>
        </row>
        <row r="236">
          <cell r="A236" t="str">
            <v>P48</v>
          </cell>
          <cell r="B236" t="str">
            <v>General taxes</v>
          </cell>
          <cell r="C236">
            <v>68535100</v>
          </cell>
          <cell r="D236" t="str">
            <v>SUTA Cap Credits</v>
          </cell>
          <cell r="E236" t="str">
            <v>408.12</v>
          </cell>
          <cell r="F236">
            <v>0</v>
          </cell>
          <cell r="G236">
            <v>0</v>
          </cell>
          <cell r="H236">
            <v>0</v>
          </cell>
          <cell r="I236">
            <v>0</v>
          </cell>
          <cell r="J236">
            <v>0</v>
          </cell>
          <cell r="K236">
            <v>0</v>
          </cell>
          <cell r="L236">
            <v>0</v>
          </cell>
          <cell r="M236">
            <v>0</v>
          </cell>
          <cell r="N236">
            <v>0</v>
          </cell>
          <cell r="O236">
            <v>0</v>
          </cell>
          <cell r="P236">
            <v>0</v>
          </cell>
          <cell r="Q236">
            <v>0</v>
          </cell>
          <cell r="R236">
            <v>0</v>
          </cell>
        </row>
        <row r="237">
          <cell r="A237" t="str">
            <v>P48</v>
          </cell>
          <cell r="B237" t="str">
            <v>General taxes</v>
          </cell>
          <cell r="C237">
            <v>68543000</v>
          </cell>
          <cell r="D237" t="str">
            <v>Othr Taxes &amp;Licenses</v>
          </cell>
          <cell r="E237" t="str">
            <v>408.13</v>
          </cell>
          <cell r="F237">
            <v>0</v>
          </cell>
          <cell r="G237">
            <v>0</v>
          </cell>
          <cell r="H237">
            <v>0</v>
          </cell>
          <cell r="I237">
            <v>10469</v>
          </cell>
          <cell r="J237">
            <v>0</v>
          </cell>
          <cell r="K237">
            <v>50</v>
          </cell>
          <cell r="L237">
            <v>0</v>
          </cell>
          <cell r="M237">
            <v>0</v>
          </cell>
          <cell r="N237">
            <v>0</v>
          </cell>
          <cell r="O237">
            <v>0</v>
          </cell>
          <cell r="P237">
            <v>0</v>
          </cell>
          <cell r="Q237">
            <v>0</v>
          </cell>
          <cell r="R237">
            <v>10519</v>
          </cell>
        </row>
        <row r="238">
          <cell r="A238" t="str">
            <v>P48</v>
          </cell>
          <cell r="B238" t="str">
            <v>General taxes</v>
          </cell>
          <cell r="C238">
            <v>68544000</v>
          </cell>
          <cell r="D238" t="str">
            <v>Gross Receipts Tax</v>
          </cell>
          <cell r="E238" t="str">
            <v>408.13</v>
          </cell>
          <cell r="F238">
            <v>0</v>
          </cell>
          <cell r="G238">
            <v>0</v>
          </cell>
          <cell r="H238">
            <v>0</v>
          </cell>
          <cell r="I238">
            <v>5521</v>
          </cell>
          <cell r="J238">
            <v>0</v>
          </cell>
          <cell r="K238">
            <v>0</v>
          </cell>
          <cell r="L238">
            <v>0</v>
          </cell>
          <cell r="M238">
            <v>0</v>
          </cell>
          <cell r="N238">
            <v>0</v>
          </cell>
          <cell r="O238">
            <v>0</v>
          </cell>
          <cell r="P238">
            <v>0</v>
          </cell>
          <cell r="Q238">
            <v>0</v>
          </cell>
          <cell r="R238">
            <v>5521</v>
          </cell>
        </row>
        <row r="239">
          <cell r="A239" t="str">
            <v>P48</v>
          </cell>
          <cell r="B239" t="str">
            <v>General taxes</v>
          </cell>
          <cell r="C239">
            <v>68545000</v>
          </cell>
          <cell r="D239" t="str">
            <v>Utility Reg Assessme</v>
          </cell>
          <cell r="E239" t="str">
            <v>408.10</v>
          </cell>
          <cell r="F239">
            <v>15859</v>
          </cell>
          <cell r="G239">
            <v>15859</v>
          </cell>
          <cell r="H239">
            <v>15859</v>
          </cell>
          <cell r="I239">
            <v>15859</v>
          </cell>
          <cell r="J239">
            <v>15859</v>
          </cell>
          <cell r="K239">
            <v>15859</v>
          </cell>
          <cell r="L239">
            <v>0</v>
          </cell>
          <cell r="M239">
            <v>0</v>
          </cell>
          <cell r="N239">
            <v>0</v>
          </cell>
          <cell r="O239">
            <v>0</v>
          </cell>
          <cell r="P239">
            <v>0</v>
          </cell>
          <cell r="Q239">
            <v>0</v>
          </cell>
          <cell r="R239">
            <v>95154</v>
          </cell>
        </row>
        <row r="240">
          <cell r="A240" t="str">
            <v>P48 Total</v>
          </cell>
          <cell r="B240"/>
          <cell r="C240"/>
          <cell r="D240"/>
          <cell r="E240"/>
          <cell r="F240">
            <v>585566</v>
          </cell>
          <cell r="G240">
            <v>583489</v>
          </cell>
          <cell r="H240">
            <v>580706</v>
          </cell>
          <cell r="I240">
            <v>600818</v>
          </cell>
          <cell r="J240">
            <v>580943</v>
          </cell>
          <cell r="K240">
            <v>582301</v>
          </cell>
          <cell r="L240">
            <v>600155</v>
          </cell>
          <cell r="M240">
            <v>586993</v>
          </cell>
          <cell r="N240">
            <v>582579</v>
          </cell>
          <cell r="O240">
            <v>584362</v>
          </cell>
          <cell r="P240">
            <v>585363</v>
          </cell>
          <cell r="Q240">
            <v>579040</v>
          </cell>
          <cell r="R240">
            <v>7032315</v>
          </cell>
        </row>
        <row r="241">
          <cell r="A241" t="str">
            <v>P51</v>
          </cell>
          <cell r="B241" t="str">
            <v>Interest income</v>
          </cell>
          <cell r="C241">
            <v>81810000</v>
          </cell>
          <cell r="D241" t="str">
            <v>Interest Income</v>
          </cell>
          <cell r="E241" t="str">
            <v>419.</v>
          </cell>
          <cell r="F241">
            <v>0</v>
          </cell>
          <cell r="G241">
            <v>0</v>
          </cell>
          <cell r="H241">
            <v>0</v>
          </cell>
          <cell r="I241">
            <v>0</v>
          </cell>
          <cell r="J241">
            <v>0</v>
          </cell>
          <cell r="K241">
            <v>0</v>
          </cell>
          <cell r="L241">
            <v>0</v>
          </cell>
          <cell r="M241">
            <v>0</v>
          </cell>
          <cell r="N241">
            <v>0</v>
          </cell>
          <cell r="O241">
            <v>0</v>
          </cell>
          <cell r="P241">
            <v>0</v>
          </cell>
          <cell r="Q241">
            <v>0</v>
          </cell>
          <cell r="R241">
            <v>0</v>
          </cell>
        </row>
        <row r="242">
          <cell r="A242" t="str">
            <v>P51</v>
          </cell>
          <cell r="B242" t="str">
            <v>Interest income</v>
          </cell>
          <cell r="C242">
            <v>81815100</v>
          </cell>
          <cell r="D242" t="str">
            <v>(blank)</v>
          </cell>
          <cell r="F242">
            <v>0</v>
          </cell>
          <cell r="G242">
            <v>0</v>
          </cell>
          <cell r="H242">
            <v>0</v>
          </cell>
          <cell r="I242">
            <v>0</v>
          </cell>
          <cell r="J242">
            <v>0</v>
          </cell>
          <cell r="K242">
            <v>0</v>
          </cell>
          <cell r="L242">
            <v>-1819</v>
          </cell>
          <cell r="M242">
            <v>-1819</v>
          </cell>
          <cell r="N242">
            <v>-1819</v>
          </cell>
          <cell r="O242">
            <v>-1819</v>
          </cell>
          <cell r="P242">
            <v>-1819</v>
          </cell>
          <cell r="Q242">
            <v>-1819</v>
          </cell>
          <cell r="R242">
            <v>-10914</v>
          </cell>
        </row>
        <row r="243">
          <cell r="A243" t="str">
            <v>P51 Total</v>
          </cell>
          <cell r="B243"/>
          <cell r="C243"/>
          <cell r="D243"/>
          <cell r="E243"/>
          <cell r="F243">
            <v>0</v>
          </cell>
          <cell r="G243">
            <v>0</v>
          </cell>
          <cell r="H243">
            <v>0</v>
          </cell>
          <cell r="I243">
            <v>0</v>
          </cell>
          <cell r="J243">
            <v>0</v>
          </cell>
          <cell r="K243">
            <v>0</v>
          </cell>
          <cell r="L243">
            <v>-1819</v>
          </cell>
          <cell r="M243">
            <v>-1819</v>
          </cell>
          <cell r="N243">
            <v>-1819</v>
          </cell>
          <cell r="O243">
            <v>-1819</v>
          </cell>
          <cell r="P243">
            <v>-1819</v>
          </cell>
          <cell r="Q243">
            <v>-1819</v>
          </cell>
          <cell r="R243">
            <v>-10914</v>
          </cell>
        </row>
        <row r="244">
          <cell r="A244" t="str">
            <v>P52</v>
          </cell>
          <cell r="B244" t="str">
            <v>Allowance for funds used during construction</v>
          </cell>
          <cell r="C244">
            <v>70510000</v>
          </cell>
          <cell r="D244" t="str">
            <v>AFUDC-Equity</v>
          </cell>
          <cell r="E244" t="str">
            <v>420.</v>
          </cell>
          <cell r="F244">
            <v>-54393</v>
          </cell>
          <cell r="G244">
            <v>-61238</v>
          </cell>
          <cell r="H244">
            <v>-62890</v>
          </cell>
          <cell r="I244">
            <v>-65594</v>
          </cell>
          <cell r="J244">
            <v>-71772</v>
          </cell>
          <cell r="K244">
            <v>-78057</v>
          </cell>
          <cell r="L244">
            <v>-25053</v>
          </cell>
          <cell r="M244">
            <v>-27539</v>
          </cell>
          <cell r="N244">
            <v>-30063</v>
          </cell>
          <cell r="O244">
            <v>-32916</v>
          </cell>
          <cell r="P244">
            <v>-41682</v>
          </cell>
          <cell r="Q244">
            <v>-53532</v>
          </cell>
          <cell r="R244">
            <v>-604729</v>
          </cell>
        </row>
        <row r="245">
          <cell r="A245" t="str">
            <v>P52 Total</v>
          </cell>
          <cell r="B245"/>
          <cell r="C245"/>
          <cell r="D245"/>
          <cell r="E245"/>
          <cell r="F245">
            <v>-54393</v>
          </cell>
          <cell r="G245">
            <v>-61238</v>
          </cell>
          <cell r="H245">
            <v>-62890</v>
          </cell>
          <cell r="I245">
            <v>-65594</v>
          </cell>
          <cell r="J245">
            <v>-71772</v>
          </cell>
          <cell r="K245">
            <v>-78057</v>
          </cell>
          <cell r="L245">
            <v>-25053</v>
          </cell>
          <cell r="M245">
            <v>-27539</v>
          </cell>
          <cell r="N245">
            <v>-30063</v>
          </cell>
          <cell r="O245">
            <v>-32916</v>
          </cell>
          <cell r="P245">
            <v>-41682</v>
          </cell>
          <cell r="Q245">
            <v>-53532</v>
          </cell>
          <cell r="R245">
            <v>-604729</v>
          </cell>
        </row>
        <row r="246">
          <cell r="A246" t="str">
            <v>P53</v>
          </cell>
          <cell r="B246" t="str">
            <v>Other miscellaneous income</v>
          </cell>
          <cell r="C246">
            <v>71511000</v>
          </cell>
          <cell r="D246" t="str">
            <v>Other Net</v>
          </cell>
          <cell r="E246" t="str">
            <v>415.</v>
          </cell>
          <cell r="F246">
            <v>0</v>
          </cell>
          <cell r="G246">
            <v>0</v>
          </cell>
          <cell r="H246">
            <v>0</v>
          </cell>
          <cell r="I246">
            <v>0</v>
          </cell>
          <cell r="J246">
            <v>0</v>
          </cell>
          <cell r="K246">
            <v>0</v>
          </cell>
          <cell r="L246">
            <v>12682</v>
          </cell>
          <cell r="M246">
            <v>11991</v>
          </cell>
          <cell r="N246">
            <v>5650</v>
          </cell>
          <cell r="O246">
            <v>5171</v>
          </cell>
          <cell r="P246">
            <v>5171</v>
          </cell>
          <cell r="Q246">
            <v>9871</v>
          </cell>
          <cell r="R246">
            <v>50536</v>
          </cell>
        </row>
        <row r="247">
          <cell r="A247" t="str">
            <v>P53 Total</v>
          </cell>
          <cell r="B247"/>
          <cell r="C247"/>
          <cell r="D247"/>
          <cell r="E247"/>
          <cell r="F247">
            <v>0</v>
          </cell>
          <cell r="G247">
            <v>0</v>
          </cell>
          <cell r="H247">
            <v>0</v>
          </cell>
          <cell r="I247">
            <v>0</v>
          </cell>
          <cell r="J247">
            <v>0</v>
          </cell>
          <cell r="K247">
            <v>0</v>
          </cell>
          <cell r="L247">
            <v>12682</v>
          </cell>
          <cell r="M247">
            <v>11991</v>
          </cell>
          <cell r="N247">
            <v>5650</v>
          </cell>
          <cell r="O247">
            <v>5171</v>
          </cell>
          <cell r="P247">
            <v>5171</v>
          </cell>
          <cell r="Q247">
            <v>9871</v>
          </cell>
          <cell r="R247">
            <v>50536</v>
          </cell>
        </row>
        <row r="248">
          <cell r="A248" t="str">
            <v>P56</v>
          </cell>
          <cell r="B248" t="str">
            <v>Other miscellaneous deductions</v>
          </cell>
          <cell r="C248">
            <v>71810000</v>
          </cell>
          <cell r="D248" t="str">
            <v>Other Pension Cost</v>
          </cell>
          <cell r="E248" t="str">
            <v>604.8</v>
          </cell>
          <cell r="F248">
            <v>196</v>
          </cell>
          <cell r="G248">
            <v>196</v>
          </cell>
          <cell r="H248">
            <v>196</v>
          </cell>
          <cell r="I248">
            <v>196</v>
          </cell>
          <cell r="J248">
            <v>196</v>
          </cell>
          <cell r="K248">
            <v>196</v>
          </cell>
          <cell r="L248">
            <v>-108990</v>
          </cell>
          <cell r="M248">
            <v>-108990</v>
          </cell>
          <cell r="N248">
            <v>-108990</v>
          </cell>
          <cell r="O248">
            <v>-108990</v>
          </cell>
          <cell r="P248">
            <v>-108990</v>
          </cell>
          <cell r="Q248">
            <v>-108990</v>
          </cell>
          <cell r="R248">
            <v>-652764</v>
          </cell>
        </row>
        <row r="249">
          <cell r="A249" t="str">
            <v>P56</v>
          </cell>
          <cell r="B249" t="str">
            <v>Other miscellaneous deductions</v>
          </cell>
          <cell r="C249">
            <v>71820000</v>
          </cell>
          <cell r="D249" t="str">
            <v>Other PBOP Cost</v>
          </cell>
          <cell r="E249" t="str">
            <v>604.8</v>
          </cell>
          <cell r="F249">
            <v>-109037</v>
          </cell>
          <cell r="G249">
            <v>-109037</v>
          </cell>
          <cell r="H249">
            <v>-109037</v>
          </cell>
          <cell r="I249">
            <v>-109037</v>
          </cell>
          <cell r="J249">
            <v>-109037</v>
          </cell>
          <cell r="K249">
            <v>-109037</v>
          </cell>
          <cell r="L249">
            <v>0</v>
          </cell>
          <cell r="M249">
            <v>0</v>
          </cell>
          <cell r="N249">
            <v>0</v>
          </cell>
          <cell r="O249">
            <v>0</v>
          </cell>
          <cell r="P249">
            <v>0</v>
          </cell>
          <cell r="Q249">
            <v>0</v>
          </cell>
          <cell r="R249">
            <v>-654222</v>
          </cell>
        </row>
        <row r="250">
          <cell r="A250" t="str">
            <v>P56</v>
          </cell>
          <cell r="B250" t="str">
            <v>Other miscellaneous deductions</v>
          </cell>
          <cell r="C250">
            <v>75820000</v>
          </cell>
          <cell r="D250" t="str">
            <v>Othr Income Deductns</v>
          </cell>
          <cell r="E250" t="str">
            <v>426.</v>
          </cell>
          <cell r="F250">
            <v>0</v>
          </cell>
          <cell r="G250">
            <v>4617</v>
          </cell>
          <cell r="H250">
            <v>0</v>
          </cell>
          <cell r="I250">
            <v>0</v>
          </cell>
          <cell r="J250">
            <v>0</v>
          </cell>
          <cell r="K250">
            <v>0</v>
          </cell>
          <cell r="L250">
            <v>0</v>
          </cell>
          <cell r="M250">
            <v>0</v>
          </cell>
          <cell r="N250">
            <v>0</v>
          </cell>
          <cell r="O250">
            <v>0</v>
          </cell>
          <cell r="P250">
            <v>0</v>
          </cell>
          <cell r="Q250">
            <v>0</v>
          </cell>
          <cell r="R250">
            <v>4617</v>
          </cell>
        </row>
        <row r="251">
          <cell r="A251" t="str">
            <v>P56</v>
          </cell>
          <cell r="B251" t="str">
            <v>Other miscellaneous deductions</v>
          </cell>
          <cell r="C251">
            <v>75840000</v>
          </cell>
          <cell r="D251" t="str">
            <v>Lobbying Expenses</v>
          </cell>
          <cell r="E251" t="str">
            <v>426.</v>
          </cell>
          <cell r="F251">
            <v>10500</v>
          </cell>
          <cell r="G251">
            <v>10500</v>
          </cell>
          <cell r="H251">
            <v>10500</v>
          </cell>
          <cell r="I251">
            <v>5500</v>
          </cell>
          <cell r="J251">
            <v>5500</v>
          </cell>
          <cell r="K251">
            <v>5500</v>
          </cell>
          <cell r="L251">
            <v>0</v>
          </cell>
          <cell r="M251">
            <v>0</v>
          </cell>
          <cell r="N251">
            <v>0</v>
          </cell>
          <cell r="O251">
            <v>0</v>
          </cell>
          <cell r="P251">
            <v>0</v>
          </cell>
          <cell r="Q251">
            <v>0</v>
          </cell>
          <cell r="R251">
            <v>48000</v>
          </cell>
        </row>
        <row r="252">
          <cell r="A252" t="str">
            <v>P56 Total</v>
          </cell>
          <cell r="B252"/>
          <cell r="C252"/>
          <cell r="D252"/>
          <cell r="E252"/>
          <cell r="F252">
            <v>-98341</v>
          </cell>
          <cell r="G252">
            <v>-93724</v>
          </cell>
          <cell r="H252">
            <v>-98341</v>
          </cell>
          <cell r="I252">
            <v>-103341</v>
          </cell>
          <cell r="J252">
            <v>-103341</v>
          </cell>
          <cell r="K252">
            <v>-103341</v>
          </cell>
          <cell r="L252">
            <v>-108990</v>
          </cell>
          <cell r="M252">
            <v>-108990</v>
          </cell>
          <cell r="N252">
            <v>-108990</v>
          </cell>
          <cell r="O252">
            <v>-108990</v>
          </cell>
          <cell r="P252">
            <v>-108990</v>
          </cell>
          <cell r="Q252">
            <v>-108990</v>
          </cell>
          <cell r="R252">
            <v>-1254369</v>
          </cell>
        </row>
        <row r="253">
          <cell r="A253" t="str">
            <v>P59</v>
          </cell>
          <cell r="B253" t="str">
            <v>Interest on long-term debt</v>
          </cell>
          <cell r="C253">
            <v>81010000</v>
          </cell>
          <cell r="D253" t="str">
            <v>Interest LTD</v>
          </cell>
          <cell r="E253" t="str">
            <v>427.3</v>
          </cell>
          <cell r="F253">
            <v>137713</v>
          </cell>
          <cell r="G253">
            <v>137713</v>
          </cell>
          <cell r="H253">
            <v>137713</v>
          </cell>
          <cell r="I253">
            <v>137713</v>
          </cell>
          <cell r="J253">
            <v>137713</v>
          </cell>
          <cell r="K253">
            <v>137713</v>
          </cell>
          <cell r="L253">
            <v>1044949</v>
          </cell>
          <cell r="M253">
            <v>1044949</v>
          </cell>
          <cell r="N253">
            <v>1044949</v>
          </cell>
          <cell r="O253">
            <v>1044949</v>
          </cell>
          <cell r="P253">
            <v>1066578</v>
          </cell>
          <cell r="Q253">
            <v>1088207</v>
          </cell>
          <cell r="R253">
            <v>7160859</v>
          </cell>
        </row>
        <row r="254">
          <cell r="A254" t="str">
            <v>P59</v>
          </cell>
          <cell r="B254" t="str">
            <v>Interest on long-term debt</v>
          </cell>
          <cell r="C254">
            <v>81015000</v>
          </cell>
          <cell r="D254" t="str">
            <v>Interest LTD Interco</v>
          </cell>
          <cell r="E254" t="str">
            <v>427.3</v>
          </cell>
          <cell r="F254">
            <v>918233</v>
          </cell>
          <cell r="G254">
            <v>918233</v>
          </cell>
          <cell r="H254">
            <v>918233</v>
          </cell>
          <cell r="I254">
            <v>918233</v>
          </cell>
          <cell r="J254">
            <v>918233</v>
          </cell>
          <cell r="K254">
            <v>918233</v>
          </cell>
          <cell r="L254">
            <v>0</v>
          </cell>
          <cell r="M254">
            <v>0</v>
          </cell>
          <cell r="N254">
            <v>0</v>
          </cell>
          <cell r="O254">
            <v>0</v>
          </cell>
          <cell r="P254">
            <v>0</v>
          </cell>
          <cell r="Q254">
            <v>0</v>
          </cell>
          <cell r="R254">
            <v>5509398</v>
          </cell>
        </row>
        <row r="255">
          <cell r="A255" t="str">
            <v>P59</v>
          </cell>
          <cell r="B255" t="str">
            <v>Interest on long-term debt</v>
          </cell>
          <cell r="C255">
            <v>81016000</v>
          </cell>
          <cell r="D255" t="str">
            <v>Int Exp_debt discount amort intercompany</v>
          </cell>
          <cell r="E255" t="str">
            <v>427.3</v>
          </cell>
          <cell r="F255">
            <v>158</v>
          </cell>
          <cell r="G255">
            <v>158</v>
          </cell>
          <cell r="H255">
            <v>158</v>
          </cell>
          <cell r="I255">
            <v>158</v>
          </cell>
          <cell r="J255">
            <v>158</v>
          </cell>
          <cell r="K255">
            <v>158</v>
          </cell>
          <cell r="L255">
            <v>0</v>
          </cell>
          <cell r="M255">
            <v>0</v>
          </cell>
          <cell r="N255">
            <v>0</v>
          </cell>
          <cell r="O255">
            <v>0</v>
          </cell>
          <cell r="P255">
            <v>0</v>
          </cell>
          <cell r="Q255">
            <v>0</v>
          </cell>
          <cell r="R255">
            <v>948</v>
          </cell>
        </row>
        <row r="256">
          <cell r="A256" t="str">
            <v>P59</v>
          </cell>
          <cell r="B256" t="str">
            <v>Interest on long-term debt</v>
          </cell>
          <cell r="C256">
            <v>81020000</v>
          </cell>
          <cell r="D256" t="str">
            <v>Div Decl P/S w/ MRR</v>
          </cell>
          <cell r="E256" t="str">
            <v>437.</v>
          </cell>
          <cell r="F256">
            <v>15881</v>
          </cell>
          <cell r="G256">
            <v>15881</v>
          </cell>
          <cell r="H256">
            <v>15881</v>
          </cell>
          <cell r="I256">
            <v>15881</v>
          </cell>
          <cell r="J256">
            <v>15881</v>
          </cell>
          <cell r="K256">
            <v>15881</v>
          </cell>
          <cell r="L256">
            <v>0</v>
          </cell>
          <cell r="M256">
            <v>0</v>
          </cell>
          <cell r="N256">
            <v>0</v>
          </cell>
          <cell r="O256">
            <v>0</v>
          </cell>
          <cell r="P256">
            <v>0</v>
          </cell>
          <cell r="Q256">
            <v>0</v>
          </cell>
          <cell r="R256">
            <v>95286</v>
          </cell>
        </row>
        <row r="257">
          <cell r="A257" t="str">
            <v>P59 Total</v>
          </cell>
          <cell r="B257"/>
          <cell r="C257"/>
          <cell r="D257"/>
          <cell r="E257"/>
          <cell r="F257">
            <v>1071985</v>
          </cell>
          <cell r="G257">
            <v>1071985</v>
          </cell>
          <cell r="H257">
            <v>1071985</v>
          </cell>
          <cell r="I257">
            <v>1071985</v>
          </cell>
          <cell r="J257">
            <v>1071985</v>
          </cell>
          <cell r="K257">
            <v>1071985</v>
          </cell>
          <cell r="L257">
            <v>1044949</v>
          </cell>
          <cell r="M257">
            <v>1044949</v>
          </cell>
          <cell r="N257">
            <v>1044949</v>
          </cell>
          <cell r="O257">
            <v>1044949</v>
          </cell>
          <cell r="P257">
            <v>1066578</v>
          </cell>
          <cell r="Q257">
            <v>1088207</v>
          </cell>
          <cell r="R257">
            <v>12766491</v>
          </cell>
        </row>
        <row r="258">
          <cell r="A258" t="str">
            <v>P60</v>
          </cell>
          <cell r="B258" t="str">
            <v>Interest on short-term debt</v>
          </cell>
          <cell r="C258">
            <v>81315000</v>
          </cell>
          <cell r="D258" t="str">
            <v>Interest STD Interco</v>
          </cell>
          <cell r="E258" t="str">
            <v>427.2</v>
          </cell>
          <cell r="F258">
            <v>-1654</v>
          </cell>
          <cell r="G258">
            <v>-7624</v>
          </cell>
          <cell r="H258">
            <v>640</v>
          </cell>
          <cell r="I258">
            <v>-4560</v>
          </cell>
          <cell r="J258">
            <v>-5147</v>
          </cell>
          <cell r="K258">
            <v>24564</v>
          </cell>
          <cell r="L258">
            <v>22380</v>
          </cell>
          <cell r="M258">
            <v>17044</v>
          </cell>
          <cell r="N258">
            <v>19532</v>
          </cell>
          <cell r="O258">
            <v>23359</v>
          </cell>
          <cell r="P258">
            <v>-9345</v>
          </cell>
          <cell r="Q258">
            <v>5919</v>
          </cell>
          <cell r="R258">
            <v>85108</v>
          </cell>
        </row>
        <row r="259">
          <cell r="A259" t="str">
            <v>P60 Total</v>
          </cell>
          <cell r="B259"/>
          <cell r="C259"/>
          <cell r="D259"/>
          <cell r="E259"/>
          <cell r="F259">
            <v>-1654</v>
          </cell>
          <cell r="G259">
            <v>-7624</v>
          </cell>
          <cell r="H259">
            <v>640</v>
          </cell>
          <cell r="I259">
            <v>-4560</v>
          </cell>
          <cell r="J259">
            <v>-5147</v>
          </cell>
          <cell r="K259">
            <v>24564</v>
          </cell>
          <cell r="L259">
            <v>22380</v>
          </cell>
          <cell r="M259">
            <v>17044</v>
          </cell>
          <cell r="N259">
            <v>19532</v>
          </cell>
          <cell r="O259">
            <v>23359</v>
          </cell>
          <cell r="P259">
            <v>-9345</v>
          </cell>
          <cell r="Q259">
            <v>5919</v>
          </cell>
          <cell r="R259">
            <v>85108</v>
          </cell>
        </row>
        <row r="260">
          <cell r="A260" t="str">
            <v>P62</v>
          </cell>
          <cell r="B260" t="str">
            <v>Allowance for borrowed funds used during cons</v>
          </cell>
          <cell r="C260">
            <v>85000000</v>
          </cell>
          <cell r="D260" t="str">
            <v>AFUDC Debt</v>
          </cell>
          <cell r="E260" t="str">
            <v>420.</v>
          </cell>
          <cell r="F260">
            <v>-28002</v>
          </cell>
          <cell r="G260">
            <v>-31446</v>
          </cell>
          <cell r="H260">
            <v>-32277</v>
          </cell>
          <cell r="I260">
            <v>-33638</v>
          </cell>
          <cell r="J260">
            <v>-36747</v>
          </cell>
          <cell r="K260">
            <v>-39909</v>
          </cell>
          <cell r="L260">
            <v>-19105</v>
          </cell>
          <cell r="M260">
            <v>-20924</v>
          </cell>
          <cell r="N260">
            <v>-22770</v>
          </cell>
          <cell r="O260">
            <v>-24859</v>
          </cell>
          <cell r="P260">
            <v>-31272</v>
          </cell>
          <cell r="Q260">
            <v>-39943</v>
          </cell>
          <cell r="R260">
            <v>-360892</v>
          </cell>
        </row>
        <row r="261">
          <cell r="A261" t="str">
            <v>P62 Total</v>
          </cell>
          <cell r="B261"/>
          <cell r="C261"/>
          <cell r="D261"/>
          <cell r="E261"/>
          <cell r="F261">
            <v>-28002</v>
          </cell>
          <cell r="G261">
            <v>-31446</v>
          </cell>
          <cell r="H261">
            <v>-32277</v>
          </cell>
          <cell r="I261">
            <v>-33638</v>
          </cell>
          <cell r="J261">
            <v>-36747</v>
          </cell>
          <cell r="K261">
            <v>-39909</v>
          </cell>
          <cell r="L261">
            <v>-19105</v>
          </cell>
          <cell r="M261">
            <v>-20924</v>
          </cell>
          <cell r="N261">
            <v>-22770</v>
          </cell>
          <cell r="O261">
            <v>-24859</v>
          </cell>
          <cell r="P261">
            <v>-31272</v>
          </cell>
          <cell r="Q261">
            <v>-39943</v>
          </cell>
          <cell r="R261">
            <v>-360892</v>
          </cell>
        </row>
        <row r="262">
          <cell r="A262" t="str">
            <v>P63</v>
          </cell>
          <cell r="B262" t="str">
            <v>Amortization of debt expense</v>
          </cell>
          <cell r="C262">
            <v>82010000</v>
          </cell>
          <cell r="D262" t="str">
            <v>Amort Debt Disc&amp;Exp</v>
          </cell>
          <cell r="E262" t="str">
            <v>428.</v>
          </cell>
          <cell r="F262">
            <v>665</v>
          </cell>
          <cell r="G262">
            <v>665</v>
          </cell>
          <cell r="H262">
            <v>665</v>
          </cell>
          <cell r="I262">
            <v>665</v>
          </cell>
          <cell r="J262">
            <v>665</v>
          </cell>
          <cell r="K262">
            <v>665</v>
          </cell>
          <cell r="L262">
            <v>9021</v>
          </cell>
          <cell r="M262">
            <v>9021</v>
          </cell>
          <cell r="N262">
            <v>9021</v>
          </cell>
          <cell r="O262">
            <v>9021</v>
          </cell>
          <cell r="P262">
            <v>9595</v>
          </cell>
          <cell r="Q262">
            <v>10170</v>
          </cell>
          <cell r="R262">
            <v>59839</v>
          </cell>
        </row>
        <row r="263">
          <cell r="A263" t="str">
            <v>P63</v>
          </cell>
          <cell r="B263" t="str">
            <v>Amortization of debt expense</v>
          </cell>
          <cell r="C263">
            <v>82015000</v>
          </cell>
          <cell r="D263" t="str">
            <v>Amort Dbt Dsc&amp;Ex I/C</v>
          </cell>
          <cell r="E263" t="str">
            <v>428.</v>
          </cell>
          <cell r="F263">
            <v>9042</v>
          </cell>
          <cell r="G263">
            <v>9042</v>
          </cell>
          <cell r="H263">
            <v>9042</v>
          </cell>
          <cell r="I263">
            <v>9042</v>
          </cell>
          <cell r="J263">
            <v>9042</v>
          </cell>
          <cell r="K263">
            <v>9042</v>
          </cell>
          <cell r="L263">
            <v>0</v>
          </cell>
          <cell r="M263">
            <v>0</v>
          </cell>
          <cell r="N263">
            <v>0</v>
          </cell>
          <cell r="O263">
            <v>0</v>
          </cell>
          <cell r="P263">
            <v>0</v>
          </cell>
          <cell r="Q263">
            <v>0</v>
          </cell>
          <cell r="R263">
            <v>54252</v>
          </cell>
        </row>
        <row r="264">
          <cell r="A264"/>
          <cell r="B264"/>
          <cell r="C264">
            <v>82020000</v>
          </cell>
          <cell r="D264" t="str">
            <v>Amort P/S Exp w/ Mandatory Redemptn Requiremts</v>
          </cell>
          <cell r="F264">
            <v>32</v>
          </cell>
          <cell r="G264">
            <v>32</v>
          </cell>
          <cell r="H264">
            <v>32</v>
          </cell>
          <cell r="I264">
            <v>32</v>
          </cell>
          <cell r="J264">
            <v>32</v>
          </cell>
          <cell r="K264">
            <v>32</v>
          </cell>
          <cell r="L264">
            <v>0</v>
          </cell>
          <cell r="M264">
            <v>0</v>
          </cell>
          <cell r="N264">
            <v>0</v>
          </cell>
          <cell r="O264">
            <v>0</v>
          </cell>
          <cell r="P264">
            <v>0</v>
          </cell>
          <cell r="Q264">
            <v>0</v>
          </cell>
          <cell r="R264">
            <v>192</v>
          </cell>
        </row>
        <row r="265">
          <cell r="A265" t="str">
            <v>P63 Total</v>
          </cell>
          <cell r="B265"/>
          <cell r="C265"/>
          <cell r="D265"/>
          <cell r="E265"/>
          <cell r="F265">
            <v>9739</v>
          </cell>
          <cell r="G265">
            <v>9739</v>
          </cell>
          <cell r="H265">
            <v>9739</v>
          </cell>
          <cell r="I265">
            <v>9739</v>
          </cell>
          <cell r="J265">
            <v>9739</v>
          </cell>
          <cell r="K265">
            <v>9739</v>
          </cell>
          <cell r="L265">
            <v>9021</v>
          </cell>
          <cell r="M265">
            <v>9021</v>
          </cell>
          <cell r="N265">
            <v>9021</v>
          </cell>
          <cell r="O265">
            <v>9021</v>
          </cell>
          <cell r="P265">
            <v>9595</v>
          </cell>
          <cell r="Q265">
            <v>10170</v>
          </cell>
          <cell r="R265">
            <v>114283</v>
          </cell>
        </row>
        <row r="266">
          <cell r="A266" t="str">
            <v>P65</v>
          </cell>
          <cell r="B266" t="str">
            <v>Common Dividends</v>
          </cell>
          <cell r="C266">
            <v>86021500</v>
          </cell>
          <cell r="D266" t="str">
            <v>Div Decl Com Stk I/C</v>
          </cell>
          <cell r="E266" t="str">
            <v>438.</v>
          </cell>
          <cell r="F266">
            <v>0</v>
          </cell>
          <cell r="G266">
            <v>0</v>
          </cell>
          <cell r="H266">
            <v>3360749</v>
          </cell>
          <cell r="I266">
            <v>0</v>
          </cell>
          <cell r="J266">
            <v>0</v>
          </cell>
          <cell r="K266">
            <v>5664426</v>
          </cell>
          <cell r="L266">
            <v>0</v>
          </cell>
          <cell r="M266">
            <v>0</v>
          </cell>
          <cell r="N266">
            <v>4086806</v>
          </cell>
          <cell r="O266">
            <v>0</v>
          </cell>
          <cell r="P266">
            <v>0</v>
          </cell>
          <cell r="Q266">
            <v>2302460</v>
          </cell>
          <cell r="R266">
            <v>15414441</v>
          </cell>
        </row>
      </sheetData>
      <sheetData sheetId="5">
        <row r="8">
          <cell r="C8">
            <v>401</v>
          </cell>
        </row>
      </sheetData>
      <sheetData sheetId="6">
        <row r="5">
          <cell r="O5">
            <v>14320884.467466416</v>
          </cell>
        </row>
      </sheetData>
      <sheetData sheetId="7">
        <row r="14">
          <cell r="E14">
            <v>91956201</v>
          </cell>
        </row>
      </sheetData>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Inc Statment - SCH C.1"/>
      <sheetName val="Changes 011419"/>
      <sheetName val="MSFR Inc Stmt by Acct - SCH C.2"/>
      <sheetName val="MSFR IS Adjust D.1"/>
      <sheetName val="MSFR IS Adjust Support D-2"/>
      <sheetName val="D-3"/>
    </sheetNames>
    <sheetDataSet>
      <sheetData sheetId="0"/>
      <sheetData sheetId="1">
        <row r="7">
          <cell r="B7">
            <v>91907987</v>
          </cell>
          <cell r="D7">
            <v>88516166</v>
          </cell>
        </row>
        <row r="10">
          <cell r="B10">
            <v>34285634</v>
          </cell>
          <cell r="D10">
            <v>37805850.987251282</v>
          </cell>
        </row>
        <row r="11">
          <cell r="B11">
            <v>16275109</v>
          </cell>
          <cell r="D11">
            <v>18383403.419117443</v>
          </cell>
        </row>
        <row r="12">
          <cell r="B12">
            <v>8556</v>
          </cell>
          <cell r="D12">
            <v>24566.75499999999</v>
          </cell>
        </row>
        <row r="13">
          <cell r="B13">
            <v>267920</v>
          </cell>
          <cell r="D13">
            <v>263437.74</v>
          </cell>
        </row>
        <row r="14">
          <cell r="B14">
            <v>990115.10333669779</v>
          </cell>
          <cell r="D14">
            <v>499853.57424153085</v>
          </cell>
        </row>
        <row r="15">
          <cell r="B15">
            <v>4152972.6359339543</v>
          </cell>
          <cell r="D15">
            <v>2203521.6676104907</v>
          </cell>
        </row>
        <row r="16">
          <cell r="B16">
            <v>-78492</v>
          </cell>
          <cell r="D16">
            <v>-78492</v>
          </cell>
        </row>
        <row r="17">
          <cell r="B17">
            <v>7362427</v>
          </cell>
          <cell r="D17">
            <v>7822213</v>
          </cell>
        </row>
        <row r="18">
          <cell r="B18">
            <v>63264241.739270657</v>
          </cell>
          <cell r="D18">
            <v>66924355.143220738</v>
          </cell>
        </row>
        <row r="78">
          <cell r="B78">
            <v>6602753</v>
          </cell>
          <cell r="C78">
            <v>7039679</v>
          </cell>
        </row>
        <row r="79">
          <cell r="B79">
            <v>566558</v>
          </cell>
          <cell r="C79">
            <v>596010</v>
          </cell>
        </row>
        <row r="80">
          <cell r="B80">
            <v>186974</v>
          </cell>
          <cell r="C80">
            <v>175930</v>
          </cell>
        </row>
        <row r="83">
          <cell r="B83">
            <v>35622</v>
          </cell>
          <cell r="C83">
            <v>44775</v>
          </cell>
        </row>
        <row r="87">
          <cell r="B87">
            <v>-1668048</v>
          </cell>
          <cell r="C87">
            <v>-1756611.3294152406</v>
          </cell>
        </row>
        <row r="89">
          <cell r="C89">
            <v>3056122.1474742508</v>
          </cell>
        </row>
        <row r="90">
          <cell r="B90">
            <v>-560431</v>
          </cell>
          <cell r="C90">
            <v>-660119.81402054697</v>
          </cell>
        </row>
        <row r="92">
          <cell r="B92">
            <v>57084</v>
          </cell>
          <cell r="C92">
            <v>57085.98</v>
          </cell>
        </row>
        <row r="93">
          <cell r="C93">
            <v>24566.75499999999</v>
          </cell>
          <cell r="D93" t="str">
            <v xml:space="preserve">Requesting $0 in case.  </v>
          </cell>
        </row>
        <row r="95">
          <cell r="B95">
            <v>839228</v>
          </cell>
          <cell r="C95">
            <v>1091902</v>
          </cell>
        </row>
        <row r="103">
          <cell r="G103">
            <v>105483271.71353972</v>
          </cell>
        </row>
        <row r="104">
          <cell r="G104">
            <v>2483215</v>
          </cell>
        </row>
        <row r="105">
          <cell r="G105">
            <v>551340</v>
          </cell>
        </row>
        <row r="134">
          <cell r="G134">
            <v>37988689.882293239</v>
          </cell>
        </row>
        <row r="137">
          <cell r="G137">
            <v>18383403.419117443</v>
          </cell>
        </row>
        <row r="138">
          <cell r="G138">
            <v>24566.75499999999</v>
          </cell>
        </row>
        <row r="139">
          <cell r="G139">
            <v>263437.74</v>
          </cell>
        </row>
        <row r="142">
          <cell r="C142">
            <v>1059899.1223152166</v>
          </cell>
          <cell r="G142">
            <v>1746232.0149654024</v>
          </cell>
        </row>
        <row r="143">
          <cell r="C143">
            <v>-69784.018978518812</v>
          </cell>
          <cell r="G143">
            <v>-257439.21891470245</v>
          </cell>
        </row>
        <row r="145">
          <cell r="C145">
            <v>4902251.8913184591</v>
          </cell>
          <cell r="G145">
            <v>7552260.7165125925</v>
          </cell>
        </row>
        <row r="146">
          <cell r="C146">
            <v>-749279.25538450456</v>
          </cell>
          <cell r="G146">
            <v>-1402864.2300124043</v>
          </cell>
        </row>
        <row r="147">
          <cell r="C147">
            <v>-78492</v>
          </cell>
          <cell r="G147">
            <v>-78492</v>
          </cell>
        </row>
        <row r="148">
          <cell r="G148">
            <v>7862215.7777135521</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Linkin"/>
      <sheetName val="ACQ- Link In"/>
      <sheetName val="Link Out"/>
      <sheetName val="UPIS Bal + Activity to Aug 2018"/>
      <sheetName val="UPIS linkin"/>
      <sheetName val="Accum depr linkin"/>
      <sheetName val="Additions linkin"/>
      <sheetName val="Retire linkin"/>
      <sheetName val="Customer Adv linkin"/>
      <sheetName val="CIAC linkin"/>
      <sheetName val="Control"/>
      <sheetName val="Sch B-1"/>
      <sheetName val="Sch B-2"/>
      <sheetName val="Sch B-3"/>
      <sheetName val="Sch B-4"/>
      <sheetName val="Sch B-5"/>
      <sheetName val="Sch B-6"/>
      <sheetName val="Sch B-7"/>
      <sheetName val="Sch B-8"/>
      <sheetName val="Deferred Taxes"/>
      <sheetName val="Additions UPIS-ACQ linkin"/>
    </sheetNames>
    <sheetDataSet>
      <sheetData sheetId="0" refreshError="1"/>
      <sheetData sheetId="1" refreshError="1"/>
      <sheetData sheetId="2" refreshError="1"/>
      <sheetData sheetId="3">
        <row r="3">
          <cell r="C3">
            <v>422623063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40">
          <cell r="R540">
            <v>441111572.11700475</v>
          </cell>
        </row>
      </sheetData>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out"/>
      <sheetName val="Linkin"/>
      <sheetName val="Link In BS Projection"/>
      <sheetName val="Sch J-1"/>
      <sheetName val="Sch J-2"/>
      <sheetName val="Sch J-3"/>
      <sheetName val="Sch J-4"/>
      <sheetName val="Sch J-5"/>
      <sheetName val="Sch J WPs"/>
      <sheetName val="STD 2018 WP"/>
      <sheetName val="Unamort ITCs 2018 WP"/>
      <sheetName val="LTD Discount"/>
      <sheetName val="Notes"/>
    </sheetNames>
    <sheetDataSet>
      <sheetData sheetId="0">
        <row r="3">
          <cell r="C3">
            <v>8.1800000000000012E-2</v>
          </cell>
        </row>
        <row r="7">
          <cell r="C7">
            <v>2243111.34</v>
          </cell>
          <cell r="D7">
            <v>2243433.2400000002</v>
          </cell>
        </row>
        <row r="8">
          <cell r="C8">
            <v>204313965.86999997</v>
          </cell>
          <cell r="D8">
            <v>220061621.47666666</v>
          </cell>
        </row>
        <row r="9">
          <cell r="C9">
            <v>17047056.517370932</v>
          </cell>
          <cell r="D9">
            <v>6718876.940791185</v>
          </cell>
        </row>
        <row r="12">
          <cell r="C12">
            <v>1.1000000000000001E-3</v>
          </cell>
          <cell r="D12">
            <v>5.0000000000000001E-4</v>
          </cell>
        </row>
        <row r="13">
          <cell r="C13">
            <v>2.8400000000000002E-2</v>
          </cell>
          <cell r="D13">
            <v>2.9100000000000001E-2</v>
          </cell>
        </row>
        <row r="15">
          <cell r="C15">
            <v>4.0000000000000002E-4</v>
          </cell>
          <cell r="D15">
            <v>4.0000000000000002E-4</v>
          </cell>
        </row>
        <row r="16">
          <cell r="C16">
            <v>5.9900000000000002E-2</v>
          </cell>
          <cell r="D16">
            <v>5.8999999999999997E-2</v>
          </cell>
        </row>
        <row r="17">
          <cell r="C17">
            <v>8.5099999999999995E-2</v>
          </cell>
          <cell r="D17">
            <v>8.5099999999999995E-2</v>
          </cell>
        </row>
        <row r="36">
          <cell r="C36">
            <v>2.8686581219739198E-2</v>
          </cell>
          <cell r="D36">
            <v>3.2738847995791229E-2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Notes"/>
      <sheetName val="Exhibit "/>
      <sheetName val="Summary by Account"/>
      <sheetName val="Tax Rates"/>
      <sheetName val="Def FIT SIT 2018"/>
      <sheetName val="Deferred Taxes UPIS"/>
      <sheetName val="BookBasis "/>
      <sheetName val="Tax Basis Federal"/>
      <sheetName val="Tax Basis State"/>
      <sheetName val="Equity Grossup"/>
      <sheetName val="Amort Reg Assets Liab"/>
      <sheetName val="Def Taxes Reg Asset Liab"/>
      <sheetName val="Amort RAL 2018"/>
      <sheetName val="Amort RAL 2019"/>
      <sheetName val="Amort RAL 2020"/>
      <sheetName val="Tax Depreciation==&gt;"/>
      <sheetName val="Linkin - Plant Adds"/>
      <sheetName val="Fed Tax Dep"/>
      <sheetName val="State Tax Dep"/>
      <sheetName val="Aug'18 TB"/>
      <sheetName val="Depr Rates"/>
      <sheetName val="UPIS Acct PP to SAP mapping"/>
      <sheetName val="V_Look UP Acc "/>
    </sheetNames>
    <sheetDataSet>
      <sheetData sheetId="0"/>
      <sheetData sheetId="1">
        <row r="23">
          <cell r="C23">
            <v>55101</v>
          </cell>
        </row>
        <row r="24">
          <cell r="C24">
            <v>-350076</v>
          </cell>
        </row>
      </sheetData>
      <sheetData sheetId="2"/>
      <sheetData sheetId="3"/>
      <sheetData sheetId="4"/>
      <sheetData sheetId="5"/>
      <sheetData sheetId="6"/>
      <sheetData sheetId="7">
        <row r="9">
          <cell r="M9">
            <v>-3080</v>
          </cell>
          <cell r="O9">
            <v>-67789</v>
          </cell>
        </row>
        <row r="10">
          <cell r="M10">
            <v>-5357</v>
          </cell>
          <cell r="O10">
            <v>-76875</v>
          </cell>
        </row>
        <row r="11">
          <cell r="M11">
            <v>-1249</v>
          </cell>
          <cell r="O11">
            <v>-60486</v>
          </cell>
        </row>
        <row r="12">
          <cell r="M12">
            <v>-2394</v>
          </cell>
          <cell r="O12">
            <v>-65053</v>
          </cell>
        </row>
        <row r="13">
          <cell r="M13">
            <v>-29676</v>
          </cell>
          <cell r="O13">
            <v>-168980</v>
          </cell>
        </row>
        <row r="14">
          <cell r="M14">
            <v>-17330</v>
          </cell>
          <cell r="O14">
            <v>-119721</v>
          </cell>
        </row>
      </sheetData>
      <sheetData sheetId="8">
        <row r="10">
          <cell r="I10">
            <v>0.38</v>
          </cell>
          <cell r="K10">
            <v>-220170.63</v>
          </cell>
          <cell r="M10">
            <v>-11420618.5</v>
          </cell>
          <cell r="O10">
            <v>-69802031.480000019</v>
          </cell>
          <cell r="Q10">
            <v>-319405</v>
          </cell>
          <cell r="S10">
            <v>-45106517.456102148</v>
          </cell>
          <cell r="U10">
            <v>-178527.33333333334</v>
          </cell>
        </row>
        <row r="21">
          <cell r="Q21">
            <v>-247454</v>
          </cell>
        </row>
        <row r="32">
          <cell r="Q32">
            <v>-175503</v>
          </cell>
        </row>
      </sheetData>
      <sheetData sheetId="9">
        <row r="50">
          <cell r="I50">
            <v>-1127278.1970489221</v>
          </cell>
        </row>
        <row r="51">
          <cell r="I51">
            <v>-1127278.1970489221</v>
          </cell>
        </row>
        <row r="52">
          <cell r="I52">
            <v>-1127278.1970489221</v>
          </cell>
        </row>
        <row r="53">
          <cell r="I53">
            <v>-1127278.1970489221</v>
          </cell>
        </row>
        <row r="54">
          <cell r="I54">
            <v>-1127278.1970489221</v>
          </cell>
        </row>
        <row r="55">
          <cell r="I55">
            <v>-1127278.1970489221</v>
          </cell>
        </row>
        <row r="56">
          <cell r="I56">
            <v>-1178717.0053560939</v>
          </cell>
        </row>
        <row r="57">
          <cell r="I57">
            <v>-1178717.0053560939</v>
          </cell>
        </row>
        <row r="58">
          <cell r="I58">
            <v>-1178717.0053560939</v>
          </cell>
        </row>
        <row r="59">
          <cell r="I59">
            <v>-1178717.0053560939</v>
          </cell>
        </row>
        <row r="60">
          <cell r="I60">
            <v>-1178717.0053560939</v>
          </cell>
        </row>
        <row r="61">
          <cell r="I61">
            <v>-1178717.0053560939</v>
          </cell>
        </row>
      </sheetData>
      <sheetData sheetId="10">
        <row r="50">
          <cell r="I50">
            <v>-1368109.9470489218</v>
          </cell>
        </row>
        <row r="51">
          <cell r="I51">
            <v>-1368109.9470489218</v>
          </cell>
        </row>
        <row r="52">
          <cell r="I52">
            <v>-1368109.9470489218</v>
          </cell>
        </row>
        <row r="53">
          <cell r="I53">
            <v>-1368109.9470489218</v>
          </cell>
        </row>
        <row r="54">
          <cell r="I54">
            <v>-1368109.9470489218</v>
          </cell>
        </row>
        <row r="55">
          <cell r="I55">
            <v>-1368109.9470489218</v>
          </cell>
        </row>
        <row r="56">
          <cell r="I56">
            <v>-1390212.4220227606</v>
          </cell>
        </row>
        <row r="57">
          <cell r="I57">
            <v>-1390212.4220227606</v>
          </cell>
        </row>
        <row r="58">
          <cell r="I58">
            <v>-1390212.4220227606</v>
          </cell>
        </row>
        <row r="59">
          <cell r="I59">
            <v>-1390212.4220227606</v>
          </cell>
        </row>
        <row r="60">
          <cell r="I60">
            <v>-1390212.4220227606</v>
          </cell>
        </row>
        <row r="61">
          <cell r="I61">
            <v>-1390212.4220227606</v>
          </cell>
        </row>
      </sheetData>
      <sheetData sheetId="11">
        <row r="10">
          <cell r="G10">
            <v>5926188.7300000004</v>
          </cell>
        </row>
      </sheetData>
      <sheetData sheetId="12"/>
      <sheetData sheetId="13">
        <row r="30">
          <cell r="C30">
            <v>-62376</v>
          </cell>
          <cell r="E30">
            <v>-54620.331693548273</v>
          </cell>
        </row>
      </sheetData>
      <sheetData sheetId="14">
        <row r="54">
          <cell r="M54">
            <v>-5258</v>
          </cell>
          <cell r="O54">
            <v>-5258</v>
          </cell>
          <cell r="Q54">
            <v>-5258</v>
          </cell>
          <cell r="S54">
            <v>-5258</v>
          </cell>
          <cell r="U54">
            <v>-5258</v>
          </cell>
          <cell r="W54">
            <v>-5257</v>
          </cell>
          <cell r="Y54">
            <v>-5257</v>
          </cell>
          <cell r="AA54">
            <v>-5257</v>
          </cell>
          <cell r="AC54">
            <v>-5257</v>
          </cell>
          <cell r="AE54">
            <v>-5257</v>
          </cell>
        </row>
        <row r="60">
          <cell r="M60">
            <v>-5683.4443077956894</v>
          </cell>
          <cell r="O60">
            <v>-5683.4443077956894</v>
          </cell>
          <cell r="Q60">
            <v>-5683.4443077956894</v>
          </cell>
          <cell r="S60">
            <v>-5683.4443077956894</v>
          </cell>
          <cell r="U60">
            <v>-5683.4443077956894</v>
          </cell>
          <cell r="W60">
            <v>-5684.4443077956894</v>
          </cell>
          <cell r="Y60">
            <v>-5684.4443077956894</v>
          </cell>
          <cell r="AA60">
            <v>-5684.4443077956894</v>
          </cell>
          <cell r="AC60">
            <v>-5684.4443077956894</v>
          </cell>
          <cell r="AE60">
            <v>-5684.4443077956894</v>
          </cell>
        </row>
        <row r="62">
          <cell r="M62">
            <v>-6541</v>
          </cell>
          <cell r="O62">
            <v>-6541</v>
          </cell>
          <cell r="Q62">
            <v>-6541</v>
          </cell>
          <cell r="S62">
            <v>-6541</v>
          </cell>
          <cell r="U62">
            <v>-6541</v>
          </cell>
          <cell r="W62">
            <v>-6541</v>
          </cell>
          <cell r="Y62">
            <v>-6541</v>
          </cell>
          <cell r="AA62">
            <v>-6541</v>
          </cell>
          <cell r="AC62">
            <v>-6541</v>
          </cell>
          <cell r="AE62">
            <v>-6541</v>
          </cell>
        </row>
      </sheetData>
      <sheetData sheetId="15">
        <row r="54">
          <cell r="I54">
            <v>-5198</v>
          </cell>
          <cell r="K54">
            <v>-5198</v>
          </cell>
        </row>
        <row r="60">
          <cell r="I60">
            <v>-4551.6943077956894</v>
          </cell>
          <cell r="K60">
            <v>-4551.3609744623564</v>
          </cell>
        </row>
        <row r="62">
          <cell r="I62">
            <v>-6541</v>
          </cell>
          <cell r="K62">
            <v>-6541</v>
          </cell>
        </row>
      </sheetData>
      <sheetData sheetId="16"/>
      <sheetData sheetId="17"/>
      <sheetData sheetId="18"/>
      <sheetData sheetId="19">
        <row r="14">
          <cell r="H14">
            <v>-195953.20696558518</v>
          </cell>
        </row>
        <row r="15">
          <cell r="H15">
            <v>-286889.31078977528</v>
          </cell>
        </row>
        <row r="16">
          <cell r="H16">
            <v>-216083.7724825145</v>
          </cell>
        </row>
        <row r="17">
          <cell r="H17">
            <v>-126337.00247783193</v>
          </cell>
        </row>
        <row r="18">
          <cell r="H18">
            <v>-132934.29910308958</v>
          </cell>
        </row>
        <row r="19">
          <cell r="H19">
            <v>-159556.24715073241</v>
          </cell>
        </row>
        <row r="24">
          <cell r="H24">
            <v>-339972.61613733001</v>
          </cell>
        </row>
        <row r="25">
          <cell r="H25">
            <v>-374641.8856035124</v>
          </cell>
        </row>
        <row r="26">
          <cell r="H26">
            <v>-568261.2834331285</v>
          </cell>
        </row>
        <row r="27">
          <cell r="H27">
            <v>-335617.99125435727</v>
          </cell>
        </row>
        <row r="28">
          <cell r="H28">
            <v>-304137.87983254768</v>
          </cell>
        </row>
        <row r="29">
          <cell r="H29">
            <v>-284860.78248397529</v>
          </cell>
        </row>
        <row r="30">
          <cell r="H30">
            <v>-290345.45150854625</v>
          </cell>
        </row>
        <row r="31">
          <cell r="H31">
            <v>-285810.71901662747</v>
          </cell>
        </row>
        <row r="32">
          <cell r="H32">
            <v>-359575.12213616451</v>
          </cell>
        </row>
        <row r="33">
          <cell r="H33">
            <v>-357017.62663529039</v>
          </cell>
        </row>
        <row r="34">
          <cell r="H34">
            <v>-357751.53857289971</v>
          </cell>
        </row>
        <row r="35">
          <cell r="H35">
            <v>-372375.88038456201</v>
          </cell>
        </row>
        <row r="38">
          <cell r="M38">
            <v>1044692.8575834477</v>
          </cell>
          <cell r="N38">
            <v>1068162.6362621826</v>
          </cell>
          <cell r="O38">
            <v>1085145.0769333574</v>
          </cell>
          <cell r="P38">
            <v>1127729.7968518008</v>
          </cell>
          <cell r="Q38">
            <v>1127278.1970489221</v>
          </cell>
          <cell r="R38">
            <v>1127278.1970489221</v>
          </cell>
        </row>
      </sheetData>
      <sheetData sheetId="20">
        <row r="38">
          <cell r="M38">
            <v>1308980.2742501143</v>
          </cell>
          <cell r="N38">
            <v>1332450.0529288491</v>
          </cell>
          <cell r="O38">
            <v>1349432.4936000239</v>
          </cell>
          <cell r="P38">
            <v>1392017.2135184673</v>
          </cell>
          <cell r="Q38">
            <v>1368109.9470489218</v>
          </cell>
          <cell r="R38">
            <v>1368109.9470489218</v>
          </cell>
        </row>
      </sheetData>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Def Maint Detail"/>
      <sheetName val="Def Maint Bal"/>
      <sheetName val="Def Maint Amort"/>
      <sheetName val="Def Maint Expenditures"/>
    </sheetNames>
    <sheetDataSet>
      <sheetData sheetId="0"/>
      <sheetData sheetId="1">
        <row r="5">
          <cell r="B5">
            <v>10368643</v>
          </cell>
        </row>
        <row r="23">
          <cell r="B23">
            <v>1500000</v>
          </cell>
        </row>
        <row r="25">
          <cell r="B25">
            <v>4371148.2799999993</v>
          </cell>
        </row>
      </sheetData>
      <sheetData sheetId="2"/>
      <sheetData sheetId="3"/>
      <sheetData sheetId="4">
        <row r="16">
          <cell r="AM16">
            <v>8660331.2540000025</v>
          </cell>
        </row>
        <row r="28">
          <cell r="AM28">
            <v>10368643.493888887</v>
          </cell>
        </row>
      </sheetData>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CWIP-RPs Link Out"/>
      <sheetName val="CWIP-IPs Link Out"/>
      <sheetName val="ACQ- Link Out"/>
      <sheetName val="Exh UPIS"/>
      <sheetName val="Exh Accum Dep COR"/>
      <sheetName val="Exh CWIP"/>
      <sheetName val="Exh DevAdv"/>
      <sheetName val="Exh CIAC"/>
      <sheetName val="Exh Depr Exp"/>
      <sheetName val="Exh COR Exp"/>
      <sheetName val="Exh 13 SCEP"/>
      <sheetName val="Bal UPIS"/>
      <sheetName val="Bal Accum Dep&amp;COR"/>
      <sheetName val="Bal CWIP"/>
      <sheetName val="Bal and Actv DevAdv"/>
      <sheetName val="Bal CIAC"/>
      <sheetName val="Bal AFUDC"/>
      <sheetName val="Actv CapExpend"/>
      <sheetName val="Actv PlacedInServc"/>
      <sheetName val="Actv Depr Exp"/>
      <sheetName val="Actv Retire"/>
      <sheetName val="Actv COR"/>
      <sheetName val="Actv CIAC"/>
      <sheetName val="AFUDC Activity"/>
      <sheetName val="AFUDC In-Service"/>
      <sheetName val="Data-Water SCEP by Acct"/>
      <sheetName val="Data Ret Salv COR"/>
      <sheetName val="Data-DevAdv"/>
      <sheetName val="Data CIAC"/>
      <sheetName val="Data-Depr Rates"/>
      <sheetName val="Data AFUDC Rate"/>
      <sheetName val="EXP 16 Depreciation and COR"/>
      <sheetName val="Summary Activity ACQ"/>
      <sheetName val="Activity ACQ1"/>
      <sheetName val="Data ACQ1"/>
      <sheetName val="ACQ1 Detail"/>
      <sheetName val="Activity ACQ2"/>
      <sheetName val="Data ACQ2"/>
      <sheetName val="Data % Capital Spread by Acct"/>
      <sheetName val="SCEP Rate Case Slippage"/>
      <sheetName val="SCEP Rate Case Total"/>
      <sheetName val="SCEP IP Project Info"/>
      <sheetName val="SCEP Rate Case CIAC-Cust Adv"/>
      <sheetName val="Data_DeprAdj_15_Study"/>
      <sheetName val="Data_Account List"/>
      <sheetName val="Data_UPIS COA"/>
      <sheetName val="SAP Acct"/>
      <sheetName val="1 JDE to SAP"/>
      <sheetName val="WS Not Used in Filing"/>
      <sheetName val="Activity UPIS-ACQ"/>
      <sheetName val="Data UPIS-By ACQ"/>
      <sheetName val="Activity Accum Reserve-ACQ"/>
      <sheetName val="Data Accum Reserve-By ACQ"/>
      <sheetName val="EXP 17 Amortization"/>
    </sheetNames>
    <sheetDataSet>
      <sheetData sheetId="0">
        <row r="352">
          <cell r="F352">
            <v>175477230.07999995</v>
          </cell>
        </row>
      </sheetData>
      <sheetData sheetId="1">
        <row r="6">
          <cell r="H6">
            <v>551340</v>
          </cell>
        </row>
        <row r="48">
          <cell r="L48">
            <v>16477</v>
          </cell>
          <cell r="M48">
            <v>10004</v>
          </cell>
          <cell r="N48">
            <v>8839</v>
          </cell>
          <cell r="O48">
            <v>8106</v>
          </cell>
          <cell r="P48">
            <v>8764</v>
          </cell>
          <cell r="Q48">
            <v>9861</v>
          </cell>
          <cell r="R48">
            <v>10914</v>
          </cell>
          <cell r="S48">
            <v>14328</v>
          </cell>
          <cell r="T48">
            <v>16818</v>
          </cell>
          <cell r="U48">
            <v>4325</v>
          </cell>
          <cell r="V48">
            <v>4496</v>
          </cell>
          <cell r="W48">
            <v>4666</v>
          </cell>
        </row>
        <row r="50">
          <cell r="B50">
            <v>1351177</v>
          </cell>
        </row>
        <row r="51">
          <cell r="B51">
            <v>-5040979</v>
          </cell>
        </row>
        <row r="52">
          <cell r="B52">
            <v>-2943637.6338227843</v>
          </cell>
        </row>
        <row r="199">
          <cell r="I199">
            <v>8041907.0594838336</v>
          </cell>
          <cell r="L199">
            <v>17699702.398926131</v>
          </cell>
        </row>
        <row r="200">
          <cell r="L200">
            <v>60084.127882371431</v>
          </cell>
        </row>
        <row r="204">
          <cell r="I204">
            <v>3062609.6034163898</v>
          </cell>
        </row>
        <row r="207">
          <cell r="I207">
            <v>1417852.1084130579</v>
          </cell>
        </row>
      </sheetData>
      <sheetData sheetId="2">
        <row r="6">
          <cell r="A6" t="str">
            <v>D12-**01-P</v>
          </cell>
        </row>
      </sheetData>
      <sheetData sheetId="3">
        <row r="6">
          <cell r="A6" t="str">
            <v>I12-020037</v>
          </cell>
        </row>
      </sheetData>
      <sheetData sheetId="4">
        <row r="5">
          <cell r="B5">
            <v>2348828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B1" t="str">
            <v>Kentucky American Water Company</v>
          </cell>
        </row>
      </sheetData>
      <sheetData sheetId="14">
        <row r="1">
          <cell r="B1" t="str">
            <v>Kentucky American Water Company</v>
          </cell>
        </row>
      </sheetData>
      <sheetData sheetId="15" refreshError="1"/>
      <sheetData sheetId="16">
        <row r="1">
          <cell r="B1" t="str">
            <v>Kentucky American Water Company</v>
          </cell>
        </row>
      </sheetData>
      <sheetData sheetId="17">
        <row r="1">
          <cell r="H1" t="str">
            <v>Kentucky American Water Company</v>
          </cell>
        </row>
      </sheetData>
      <sheetData sheetId="18" refreshError="1"/>
      <sheetData sheetId="19"/>
      <sheetData sheetId="20">
        <row r="1">
          <cell r="B1" t="str">
            <v>Kentucky American Water Company</v>
          </cell>
        </row>
      </sheetData>
      <sheetData sheetId="21" refreshError="1"/>
      <sheetData sheetId="22">
        <row r="1">
          <cell r="B1" t="str">
            <v>Kentucky American Water Company</v>
          </cell>
        </row>
      </sheetData>
      <sheetData sheetId="23" refreshError="1"/>
      <sheetData sheetId="24" refreshError="1"/>
      <sheetData sheetId="25">
        <row r="6">
          <cell r="P6">
            <v>16613.456871830873</v>
          </cell>
        </row>
      </sheetData>
      <sheetData sheetId="26" refreshError="1"/>
      <sheetData sheetId="27" refreshError="1"/>
      <sheetData sheetId="28" refreshError="1"/>
      <sheetData sheetId="29" refreshError="1"/>
      <sheetData sheetId="30">
        <row r="34">
          <cell r="I34">
            <v>-69802031.480000004</v>
          </cell>
        </row>
      </sheetData>
      <sheetData sheetId="31" refreshError="1"/>
      <sheetData sheetId="32">
        <row r="13">
          <cell r="D13">
            <v>0.2495</v>
          </cell>
        </row>
      </sheetData>
      <sheetData sheetId="33" refreshError="1"/>
      <sheetData sheetId="34" refreshError="1"/>
      <sheetData sheetId="35" refreshError="1"/>
      <sheetData sheetId="36">
        <row r="23">
          <cell r="H23">
            <v>1175509</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24">
          <cell r="D24">
            <v>-221988.96</v>
          </cell>
        </row>
      </sheetData>
      <sheetData sheetId="46" refreshError="1"/>
      <sheetData sheetId="47" refreshError="1"/>
      <sheetData sheetId="48" refreshError="1"/>
      <sheetData sheetId="49">
        <row r="2039">
          <cell r="B2039" t="str">
            <v>252120</v>
          </cell>
        </row>
      </sheetData>
      <sheetData sheetId="50" refreshError="1"/>
      <sheetData sheetId="51">
        <row r="1">
          <cell r="B1" t="str">
            <v>Kentucky American Water Company</v>
          </cell>
        </row>
      </sheetData>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O265"/>
  <sheetViews>
    <sheetView zoomScale="70" zoomScaleNormal="70" workbookViewId="0"/>
  </sheetViews>
  <sheetFormatPr defaultColWidth="9.109375" defaultRowHeight="14.4"/>
  <cols>
    <col min="1" max="1" width="55.44140625" style="122" bestFit="1" customWidth="1"/>
    <col min="2" max="2" width="46.44140625" style="123" customWidth="1"/>
    <col min="3" max="3" width="51.6640625" style="122" bestFit="1" customWidth="1"/>
    <col min="4" max="4" width="35" style="122" bestFit="1" customWidth="1"/>
    <col min="5" max="5" width="21" style="122" bestFit="1" customWidth="1"/>
    <col min="6" max="6" width="19.44140625" style="122" bestFit="1" customWidth="1"/>
    <col min="7" max="7" width="15.44140625" style="122" customWidth="1"/>
    <col min="8" max="8" width="16.109375" style="122" bestFit="1" customWidth="1"/>
    <col min="9" max="9" width="22" style="122" bestFit="1" customWidth="1"/>
    <col min="10" max="10" width="16.5546875" style="122" bestFit="1" customWidth="1"/>
    <col min="11" max="11" width="9.109375" style="122"/>
    <col min="12" max="12" width="26.88671875" style="122" bestFit="1" customWidth="1"/>
    <col min="13" max="13" width="16.44140625" style="122" bestFit="1" customWidth="1"/>
    <col min="14" max="14" width="18.44140625" style="122" bestFit="1" customWidth="1"/>
    <col min="15" max="15" width="8.5546875" style="122" customWidth="1"/>
    <col min="16" max="16" width="17.44140625" style="122" bestFit="1" customWidth="1"/>
    <col min="17" max="17" width="1.5546875" style="122" customWidth="1"/>
    <col min="18" max="18" width="17.44140625" style="122" bestFit="1" customWidth="1"/>
    <col min="19" max="19" width="1.5546875" style="122" customWidth="1"/>
    <col min="20" max="20" width="17.44140625" style="122" bestFit="1" customWidth="1"/>
    <col min="21" max="21" width="1.5546875" style="122" customWidth="1"/>
    <col min="22" max="22" width="17.44140625" style="122" bestFit="1" customWidth="1"/>
    <col min="23" max="23" width="1.5546875" style="122" customWidth="1"/>
    <col min="24" max="24" width="17.44140625" style="122" bestFit="1" customWidth="1"/>
    <col min="25" max="25" width="1.5546875" style="122" customWidth="1"/>
    <col min="26" max="26" width="17.44140625" style="122" bestFit="1" customWidth="1"/>
    <col min="27" max="27" width="1.5546875" style="122" customWidth="1"/>
    <col min="28" max="28" width="17.44140625" style="122" bestFit="1" customWidth="1"/>
    <col min="29" max="29" width="1.5546875" style="122" customWidth="1"/>
    <col min="30" max="30" width="17.44140625" style="122" bestFit="1" customWidth="1"/>
    <col min="31" max="31" width="1.5546875" style="122" customWidth="1"/>
    <col min="32" max="32" width="17.44140625" style="122" bestFit="1" customWidth="1"/>
    <col min="33" max="33" width="1.5546875" style="122" customWidth="1"/>
    <col min="34" max="34" width="16.88671875" style="122" bestFit="1" customWidth="1"/>
    <col min="35" max="35" width="1.5546875" style="122" customWidth="1"/>
    <col min="36" max="36" width="17.44140625" style="122" bestFit="1" customWidth="1"/>
    <col min="37" max="37" width="1.5546875" style="122" customWidth="1"/>
    <col min="38" max="38" width="16.88671875" style="122" bestFit="1" customWidth="1"/>
    <col min="39" max="39" width="1.5546875" style="122" customWidth="1"/>
    <col min="40" max="40" width="18.44140625" style="122" bestFit="1" customWidth="1"/>
    <col min="41" max="16384" width="9.109375" style="122"/>
  </cols>
  <sheetData>
    <row r="1" spans="1:40">
      <c r="A1" s="122" t="str">
        <f>+'[1]Rate Case Constants'!$C9</f>
        <v>Kentucky American Water Company</v>
      </c>
    </row>
    <row r="2" spans="1:40">
      <c r="A2" s="303" t="str">
        <f>+'[1]Rate Case Constants'!$C10</f>
        <v>KENTUCKY AMERICAN WATER COMPANY</v>
      </c>
    </row>
    <row r="3" spans="1:40">
      <c r="A3" s="303" t="str">
        <f>+'[1]Rate Case Constants'!$C11</f>
        <v>Case No. 2018-00358</v>
      </c>
    </row>
    <row r="4" spans="1:40">
      <c r="A4" s="341">
        <f>+'[1]Rate Case Constants'!$C$12</f>
        <v>43524</v>
      </c>
      <c r="B4" s="124"/>
    </row>
    <row r="5" spans="1:40">
      <c r="A5" s="303" t="str">
        <f>+'[1]Rate Case Constants'!$C13</f>
        <v>June 30, 2020</v>
      </c>
      <c r="B5" s="125"/>
    </row>
    <row r="6" spans="1:40">
      <c r="A6" s="303" t="str">
        <f>+'[1]Rate Case Constants'!$C14</f>
        <v>For the 12 Months Ending June 30, 2020</v>
      </c>
      <c r="B6" s="125"/>
    </row>
    <row r="7" spans="1:40">
      <c r="A7" s="303" t="str">
        <f>+'[1]Rate Case Constants'!C15</f>
        <v>Base Year for the 12 Months Ended February 28, 2019</v>
      </c>
      <c r="B7" s="303" t="str">
        <f>+'[1]Rate Case Constants'!D15</f>
        <v>Base Year at 2/28/19</v>
      </c>
      <c r="C7" s="303" t="str">
        <f>+'[1]Rate Case Constants'!E15</f>
        <v>Base Year for the 12 Months Ended 2/28/19</v>
      </c>
    </row>
    <row r="8" spans="1:40">
      <c r="A8" s="303" t="str">
        <f>+'[1]Rate Case Constants'!$C16</f>
        <v>Base Year Adjustment</v>
      </c>
      <c r="C8" s="123"/>
    </row>
    <row r="9" spans="1:40">
      <c r="A9" s="303" t="str">
        <f>+'[1]Rate Case Constants'!$C17</f>
        <v>Forecast Year for the 12 Months Ended June 30, 2020</v>
      </c>
      <c r="B9" s="303" t="str">
        <f>+'[1]Rate Case Constants'!D17</f>
        <v>Forecast Year at 6/30/2020</v>
      </c>
      <c r="C9" s="303" t="str">
        <f>+'[1]Rate Case Constants'!E17</f>
        <v>Forecasted Year at Present Rates</v>
      </c>
      <c r="D9" s="303" t="str">
        <f>+'[1]Rate Case Constants'!F17</f>
        <v>Allocated Forecast Year at 6/30/2020</v>
      </c>
      <c r="K9" s="87" t="s">
        <v>131</v>
      </c>
      <c r="X9" s="126">
        <v>0</v>
      </c>
      <c r="Y9" s="126"/>
    </row>
    <row r="10" spans="1:40">
      <c r="A10" s="303" t="str">
        <f>+'[1]Rate Case Constants'!$C18</f>
        <v>Attrition Year Adjustment at Present Rates:</v>
      </c>
      <c r="K10" s="127" t="s">
        <v>132</v>
      </c>
      <c r="L10" s="127" t="s">
        <v>15</v>
      </c>
      <c r="M10" s="127" t="s">
        <v>16</v>
      </c>
      <c r="N10" s="127" t="s">
        <v>6</v>
      </c>
      <c r="O10" s="119" t="s">
        <v>17</v>
      </c>
      <c r="P10" s="128">
        <v>43160</v>
      </c>
      <c r="Q10" s="128"/>
      <c r="R10" s="128">
        <v>43191</v>
      </c>
      <c r="S10" s="128"/>
      <c r="T10" s="128">
        <v>43221</v>
      </c>
      <c r="U10" s="128"/>
      <c r="V10" s="128">
        <v>43252</v>
      </c>
      <c r="W10" s="128"/>
      <c r="X10" s="128">
        <v>43282</v>
      </c>
      <c r="Y10" s="128"/>
      <c r="Z10" s="128">
        <v>43313</v>
      </c>
      <c r="AA10" s="128"/>
      <c r="AB10" s="128">
        <v>43344</v>
      </c>
      <c r="AC10" s="128"/>
      <c r="AD10" s="128">
        <v>43374</v>
      </c>
      <c r="AE10" s="128"/>
      <c r="AF10" s="128">
        <v>43405</v>
      </c>
      <c r="AG10" s="128"/>
      <c r="AH10" s="128">
        <v>43435</v>
      </c>
      <c r="AI10" s="128"/>
      <c r="AJ10" s="128">
        <v>43466</v>
      </c>
      <c r="AK10" s="128"/>
      <c r="AL10" s="128">
        <v>43497</v>
      </c>
      <c r="AM10" s="128"/>
      <c r="AN10" s="127" t="s">
        <v>24</v>
      </c>
    </row>
    <row r="11" spans="1:40">
      <c r="A11" s="303" t="str">
        <f>+'[1]Rate Case Constants'!$C19</f>
        <v>Attrition Year at Present Rates</v>
      </c>
      <c r="B11" s="129"/>
    </row>
    <row r="12" spans="1:40">
      <c r="A12" s="303" t="str">
        <f>+'[1]Rate Case Constants'!$C20</f>
        <v>Adjustments for Proposed Rates:</v>
      </c>
      <c r="B12" s="129"/>
      <c r="M12" s="130"/>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row>
    <row r="13" spans="1:40">
      <c r="A13" s="303" t="str">
        <f>+'[1]Rate Case Constants'!$C21</f>
        <v>Attrition Year at Proposed Rates</v>
      </c>
      <c r="B13" s="129"/>
      <c r="M13" s="130"/>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row>
    <row r="14" spans="1:40">
      <c r="M14" s="130"/>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row>
    <row r="15" spans="1:40">
      <c r="A15" s="342" t="str">
        <f>+'[1]Rate Case Constants'!$C24</f>
        <v>Type of Filing: __X__ Original  _____ Updated  _____ Revised</v>
      </c>
      <c r="B15" s="132"/>
      <c r="M15" s="130"/>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row>
    <row r="16" spans="1:40">
      <c r="A16" s="342" t="str">
        <f>+'[1]Rate Case Constants'!$C25</f>
        <v>Type of Filing: _____ Original  __X__ Updated  _____ Revised</v>
      </c>
      <c r="B16" s="132"/>
      <c r="M16" s="130"/>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row>
    <row r="17" spans="1:40">
      <c r="A17" s="342" t="str">
        <f>+'[1]Rate Case Constants'!$C26</f>
        <v>Type of Filing: _____ Original  _____ Updated  __X__ Revised</v>
      </c>
      <c r="B17" s="132"/>
      <c r="M17" s="130"/>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row>
    <row r="19" spans="1:40" ht="14.25" customHeight="1">
      <c r="A19" s="131" t="str">
        <f>'[1]Rate Case Constants'!$A$30</f>
        <v>Witness Responsible:</v>
      </c>
      <c r="B19" s="132"/>
    </row>
    <row r="20" spans="1:40" s="123" customFormat="1">
      <c r="A20" s="123" t="str">
        <f>'[1]Rate Case Constants'!$C31</f>
        <v>Witness Responsible:   Ann Bulkley</v>
      </c>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row>
    <row r="21" spans="1:40" s="123" customFormat="1">
      <c r="A21" s="123" t="str">
        <f>'[1]Rate Case Constants'!$C32</f>
        <v>Witness Responsible:   Brent O'Neill</v>
      </c>
    </row>
    <row r="22" spans="1:40" s="123" customFormat="1">
      <c r="A22" s="123" t="str">
        <f>'[1]Rate Case Constants'!$C33</f>
        <v>Witness Responsible:   Chuck Rea</v>
      </c>
      <c r="B22" s="133"/>
    </row>
    <row r="23" spans="1:40" s="123" customFormat="1">
      <c r="A23" s="123" t="str">
        <f>'[1]Rate Case Constants'!$C34</f>
        <v>Witness Responsible:   Ed Spitznagel</v>
      </c>
      <c r="B23" s="133"/>
    </row>
    <row r="24" spans="1:40" s="123" customFormat="1">
      <c r="A24" s="123" t="str">
        <f>'[1]Rate Case Constants'!$C39</f>
        <v>Witness Responsible:   Melissa Schwarzell</v>
      </c>
      <c r="B24" s="133"/>
    </row>
    <row r="25" spans="1:40" s="123" customFormat="1">
      <c r="A25" s="123" t="str">
        <f>'[1]Rate Case Constants'!$C36</f>
        <v>Witness Responsible:   Kevin Rogers</v>
      </c>
      <c r="B25" s="133"/>
    </row>
    <row r="26" spans="1:40" s="123" customFormat="1">
      <c r="A26" s="123" t="str">
        <f>'[1]Rate Case Constants'!$C37</f>
        <v>Witness Responsible:   James Pellock</v>
      </c>
      <c r="B26" s="133"/>
    </row>
    <row r="27" spans="1:40" s="123" customFormat="1">
      <c r="A27" s="123" t="str">
        <f>'[1]Rate Case Constants'!$C38</f>
        <v>Witness Responsible:   Robert Mustich</v>
      </c>
      <c r="B27" s="133"/>
    </row>
    <row r="28" spans="1:40" s="123" customFormat="1">
      <c r="A28" s="123" t="str">
        <f>'[1]Rate Case Constants'!$C35</f>
        <v>Witness Responsible:   John Wilde</v>
      </c>
      <c r="B28" s="133"/>
    </row>
    <row r="29" spans="1:40" s="123" customFormat="1">
      <c r="A29" s="123" t="str">
        <f>'[1]Rate Case Constants'!$C40</f>
        <v>Witness Responsible:   Pat Baryenbruch</v>
      </c>
      <c r="B29" s="133"/>
    </row>
    <row r="30" spans="1:40" s="123" customFormat="1">
      <c r="A30" s="123" t="str">
        <f>'[1]Rate Case Constants'!$C41</f>
        <v>Witness Responsible:   Nick Rowe</v>
      </c>
      <c r="B30" s="133"/>
    </row>
    <row r="31" spans="1:40" s="123" customFormat="1">
      <c r="A31" s="123" t="str">
        <f>'[1]Rate Case Constants'!$C42</f>
        <v>Witness Responsible:   Scott Rungren</v>
      </c>
      <c r="B31" s="133"/>
    </row>
    <row r="32" spans="1:40" s="123" customFormat="1">
      <c r="B32" s="133"/>
    </row>
    <row r="33" spans="1:41" s="123" customFormat="1">
      <c r="A33" s="351" t="str">
        <f>+'[1]Link Out WP'!$D$78</f>
        <v>Federal and State Taxes</v>
      </c>
      <c r="B33" s="133"/>
    </row>
    <row r="34" spans="1:41" s="123" customFormat="1">
      <c r="A34" s="299" t="str">
        <f>CONCATENATE(A8, " ", A33)</f>
        <v>Base Year Adjustment Federal and State Taxes</v>
      </c>
      <c r="B34" s="133"/>
    </row>
    <row r="35" spans="1:41">
      <c r="A35" s="87"/>
      <c r="B35" s="133"/>
    </row>
    <row r="36" spans="1:41" s="303" customFormat="1">
      <c r="A36" s="299" t="str">
        <f>'[1]Link Out WP'!$F$78</f>
        <v>W/P - 6-1</v>
      </c>
      <c r="B36" s="133"/>
    </row>
    <row r="37" spans="1:41">
      <c r="A37" s="87" t="str">
        <f>'[1]Link Out Filing Exhibits'!$M$80</f>
        <v>Schedule D-2.3</v>
      </c>
      <c r="B37" s="133"/>
    </row>
    <row r="38" spans="1:41">
      <c r="A38" s="87"/>
      <c r="B38" s="133"/>
    </row>
    <row r="39" spans="1:41">
      <c r="A39" s="87" t="s">
        <v>14</v>
      </c>
      <c r="B39" s="133"/>
      <c r="K39" s="87" t="s">
        <v>133</v>
      </c>
      <c r="X39" s="126"/>
      <c r="Y39" s="126"/>
    </row>
    <row r="40" spans="1:41" hidden="1">
      <c r="A40" s="127" t="s">
        <v>7</v>
      </c>
      <c r="B40" s="127" t="s">
        <v>15</v>
      </c>
      <c r="C40" s="127" t="s">
        <v>16</v>
      </c>
      <c r="D40" s="134"/>
      <c r="E40" s="119" t="s">
        <v>6</v>
      </c>
      <c r="F40" s="134"/>
      <c r="G40" s="119" t="s">
        <v>17</v>
      </c>
      <c r="H40" s="134"/>
      <c r="I40" s="119" t="s">
        <v>8</v>
      </c>
      <c r="J40" s="134"/>
      <c r="K40" s="127" t="s">
        <v>132</v>
      </c>
      <c r="L40" s="127" t="s">
        <v>15</v>
      </c>
      <c r="M40" s="127" t="s">
        <v>16</v>
      </c>
      <c r="N40" s="127" t="s">
        <v>6</v>
      </c>
      <c r="O40" s="119" t="s">
        <v>17</v>
      </c>
      <c r="P40" s="128">
        <v>43647</v>
      </c>
      <c r="Q40" s="128"/>
      <c r="R40" s="128">
        <v>43678</v>
      </c>
      <c r="S40" s="128"/>
      <c r="T40" s="128">
        <v>43709</v>
      </c>
      <c r="U40" s="128"/>
      <c r="V40" s="128">
        <v>43739</v>
      </c>
      <c r="W40" s="128"/>
      <c r="X40" s="128">
        <v>43770</v>
      </c>
      <c r="Y40" s="128"/>
      <c r="Z40" s="128">
        <v>43800</v>
      </c>
      <c r="AA40" s="128"/>
      <c r="AB40" s="128">
        <v>43831</v>
      </c>
      <c r="AC40" s="128"/>
      <c r="AD40" s="128">
        <v>43862</v>
      </c>
      <c r="AE40" s="128"/>
      <c r="AF40" s="128">
        <v>43891</v>
      </c>
      <c r="AG40" s="128"/>
      <c r="AH40" s="128">
        <v>43922</v>
      </c>
      <c r="AI40" s="128"/>
      <c r="AJ40" s="128">
        <v>43952</v>
      </c>
      <c r="AK40" s="128"/>
      <c r="AL40" s="128">
        <v>43983</v>
      </c>
      <c r="AM40" s="128"/>
      <c r="AN40" s="127" t="s">
        <v>24</v>
      </c>
    </row>
    <row r="41" spans="1:41" hidden="1"/>
    <row r="42" spans="1:41" hidden="1">
      <c r="A42" s="303" t="str">
        <f>IFERROR(INDEX('[1]Link Out Monthly BY'!$A$7:$A$517,MATCH($C42,'[1]Link Out Monthly BY'!$C$7:$C$517,0),1),"")</f>
        <v>P02</v>
      </c>
      <c r="B42" s="122" t="str">
        <f>IFERROR(INDEX('[1]Link Out Monthly BY'!$B$7:$B$517,MATCH($C42,'[1]Link Out Monthly BY'!$C$7:$C$517,0),1),"")</f>
        <v>Water revenues - residential</v>
      </c>
      <c r="C42" s="173">
        <v>40111000</v>
      </c>
      <c r="E42" s="303" t="str">
        <f>IFERROR(INDEX('[1]Link Out Monthly BY'!$D$7:$D$517,MATCH($C42,'[1]Link Out Monthly BY'!$C$7:$C$517,0),1),"")</f>
        <v>Res Sales Billed</v>
      </c>
      <c r="G42" s="303" t="str">
        <f>IFERROR(INDEX('[1]Link Out Monthly BY'!$E$7:$E$517,MATCH($C42,'[1]Link Out Monthly BY'!$C$7:$C$517,0),1),"")</f>
        <v>461.1</v>
      </c>
      <c r="I42" s="335">
        <f>IFERROR(INDEX('[1]Link Out Monthly BY'!$R$7:$R$517,MATCH($C42,'[1]Link Out Monthly BY'!$C$7:$C$517,0),1),"")</f>
        <v>-49744539</v>
      </c>
      <c r="K42" s="303" t="str">
        <f>IFERROR(INDEX('[1]Link Out Forecast'!$A$6:$A$266,MATCH($M42,'[1]Link Out Forecast'!$C$6:$C$266,0),1),"")</f>
        <v>P02</v>
      </c>
      <c r="L42" s="122" t="str">
        <f>IFERROR(INDEX('[1]Link Out Forecast'!$B$6:$B$266,MATCH($M42,'[1]Link Out Forecast'!$C$6:$C$266,0),1),"")</f>
        <v>Water revenues - residential</v>
      </c>
      <c r="M42" s="344">
        <v>40111000</v>
      </c>
      <c r="N42" s="303" t="str">
        <f>IFERROR(INDEX('[1]Link Out Forecast'!$D$6:$D$266,MATCH($M42,'[1]Link Out Forecast'!$C$6:$C$266,0),1),"")</f>
        <v>Res Sales Billed</v>
      </c>
      <c r="O42" s="303" t="str">
        <f>IFERROR(INDEX('[1]Link Out Forecast'!$E$6:$E$266,MATCH($M42,'[1]Link Out Forecast'!$C$6:$C$266,0),1),"")</f>
        <v>461.1</v>
      </c>
      <c r="P42" s="347">
        <f>IFERROR(INDEX('[1]Link Out Forecast'!$F$6:$F$266,MATCH($M42,'[1]Link Out Forecast'!$C$6:$C$266,0),1),"")</f>
        <v>-4822203</v>
      </c>
      <c r="Q42" s="126"/>
      <c r="R42" s="347">
        <f>IFERROR(INDEX('[1]Link Out Forecast'!$G$6:$G$266,MATCH($M42,'[1]Link Out Forecast'!$C$6:$C$266,0),1),"")</f>
        <v>-4877443</v>
      </c>
      <c r="S42" s="126"/>
      <c r="T42" s="347">
        <f>IFERROR(INDEX('[1]Link Out Forecast'!$H$6:$H$266,MATCH($M42,'[1]Link Out Forecast'!$C$6:$C$266,0),1),"")</f>
        <v>-4804358</v>
      </c>
      <c r="U42" s="126"/>
      <c r="V42" s="347">
        <f>IFERROR(INDEX('[1]Link Out Forecast'!$I$6:$I$266,MATCH($M42,'[1]Link Out Forecast'!$C$6:$C$266,0),1),"")</f>
        <v>-4632996</v>
      </c>
      <c r="W42" s="126"/>
      <c r="X42" s="347">
        <f>IFERROR(INDEX('[1]Link Out Forecast'!$J$6:$J$266,MATCH($M42,'[1]Link Out Forecast'!$C$6:$C$266,0),1),"")</f>
        <v>-4253254</v>
      </c>
      <c r="Y42" s="126"/>
      <c r="Z42" s="347">
        <f>IFERROR(INDEX('[1]Link Out Forecast'!$K$6:$K$266,MATCH($M42,'[1]Link Out Forecast'!$C$6:$C$266,0),1),"")</f>
        <v>-4297301</v>
      </c>
      <c r="AA42" s="126"/>
      <c r="AB42" s="347">
        <f>IFERROR(INDEX('[1]Link Out Forecast'!$L$6:$L$266,MATCH($M42,'[1]Link Out Forecast'!$C$6:$C$266,0),1),"")</f>
        <v>-4004629</v>
      </c>
      <c r="AC42" s="126"/>
      <c r="AD42" s="347">
        <f>IFERROR(INDEX('[1]Link Out Forecast'!$M$6:$M$266,MATCH($M42,'[1]Link Out Forecast'!$C$6:$C$266,0),1),"")</f>
        <v>-3819181</v>
      </c>
      <c r="AE42" s="126"/>
      <c r="AF42" s="347">
        <f>IFERROR(INDEX('[1]Link Out Forecast'!$N$6:$N$266,MATCH($M42,'[1]Link Out Forecast'!$C$6:$C$266,0),1),"")</f>
        <v>-4033932</v>
      </c>
      <c r="AG42" s="126"/>
      <c r="AH42" s="347">
        <f>IFERROR(INDEX('[1]Link Out Forecast'!$O$6:$O$266,MATCH($M42,'[1]Link Out Forecast'!$C$6:$C$266,0),1),"")</f>
        <v>-4056701</v>
      </c>
      <c r="AI42" s="126"/>
      <c r="AJ42" s="347">
        <f>IFERROR(INDEX('[1]Link Out Forecast'!$P$6:$P$266,MATCH($M42,'[1]Link Out Forecast'!$C$6:$C$266,0),1),"")</f>
        <v>-4419826</v>
      </c>
      <c r="AK42" s="126"/>
      <c r="AL42" s="347">
        <f>IFERROR(INDEX('[1]Link Out Forecast'!$Q$6:$Q$266,MATCH($M42,'[1]Link Out Forecast'!$C$6:$C$266,0),1),"")</f>
        <v>-4593399</v>
      </c>
      <c r="AM42" s="126"/>
      <c r="AN42" s="347">
        <f>IFERROR(INDEX('[1]Link Out Forecast'!$R$6:$R$266,MATCH($M42,'[1]Link Out Forecast'!$C$6:$C$266,0),1),"")</f>
        <v>-52615223</v>
      </c>
      <c r="AO42" s="348">
        <f>SUM(P42:AL42)-AN42</f>
        <v>0</v>
      </c>
    </row>
    <row r="43" spans="1:41" hidden="1">
      <c r="A43" s="303" t="str">
        <f>IFERROR(INDEX('[1]Link Out Monthly BY'!$A$7:$A$517,MATCH($C43,'[1]Link Out Monthly BY'!$C$7:$C$517,0),1),"")</f>
        <v>P02</v>
      </c>
      <c r="B43" s="303" t="str">
        <f>IFERROR(INDEX('[1]Link Out Monthly BY'!$B$7:$B$517,MATCH($C43,'[1]Link Out Monthly BY'!$C$7:$C$517,0),1),"")</f>
        <v>Water revenues - residential</v>
      </c>
      <c r="C43" s="173">
        <v>40111100</v>
      </c>
      <c r="E43" s="303" t="str">
        <f>IFERROR(INDEX('[1]Link Out Monthly BY'!$D$7:$D$517,MATCH($C43,'[1]Link Out Monthly BY'!$C$7:$C$517,0),1),"")</f>
        <v>ResSls Billed Surch</v>
      </c>
      <c r="G43" s="303" t="str">
        <f>IFERROR(INDEX('[1]Link Out Monthly BY'!$E$7:$E$517,MATCH($C43,'[1]Link Out Monthly BY'!$C$7:$C$517,0),1),"")</f>
        <v>461.1</v>
      </c>
      <c r="I43" s="335">
        <f>IFERROR(INDEX('[1]Link Out Monthly BY'!$R$7:$R$517,MATCH($C43,'[1]Link Out Monthly BY'!$C$7:$C$517,0),1),"")</f>
        <v>518</v>
      </c>
      <c r="K43" s="303" t="str">
        <f>IFERROR(INDEX('[1]Link Out Forecast'!$A$6:$A$266,MATCH($M43,'[1]Link Out Forecast'!$C$6:$C$266,0),1),"")</f>
        <v>P03</v>
      </c>
      <c r="L43" s="303" t="str">
        <f>IFERROR(INDEX('[1]Link Out Forecast'!$B$6:$B$266,MATCH($M43,'[1]Link Out Forecast'!$C$6:$C$266,0),1),"")</f>
        <v>Water revenues - commercial</v>
      </c>
      <c r="M43" s="344">
        <v>40121000</v>
      </c>
      <c r="N43" s="303" t="str">
        <f>IFERROR(INDEX('[1]Link Out Forecast'!$D$6:$D$266,MATCH($M43,'[1]Link Out Forecast'!$C$6:$C$266,0),1),"")</f>
        <v>Com Sales Billed</v>
      </c>
      <c r="O43" s="303" t="str">
        <f>IFERROR(INDEX('[1]Link Out Forecast'!$E$6:$E$266,MATCH($M43,'[1]Link Out Forecast'!$C$6:$C$266,0),1),"")</f>
        <v>461.2</v>
      </c>
      <c r="P43" s="347">
        <f>IFERROR(INDEX('[1]Link Out Forecast'!$F$6:$F$266,MATCH($M43,'[1]Link Out Forecast'!$C$6:$C$266,0),1),"")</f>
        <v>-2320632</v>
      </c>
      <c r="Q43" s="126"/>
      <c r="R43" s="347">
        <f>IFERROR(INDEX('[1]Link Out Forecast'!$G$6:$G$266,MATCH($M43,'[1]Link Out Forecast'!$C$6:$C$266,0),1),"")</f>
        <v>-2357964</v>
      </c>
      <c r="S43" s="126"/>
      <c r="T43" s="347">
        <f>IFERROR(INDEX('[1]Link Out Forecast'!$H$6:$H$266,MATCH($M43,'[1]Link Out Forecast'!$C$6:$C$266,0),1),"")</f>
        <v>-2309420</v>
      </c>
      <c r="U43" s="126"/>
      <c r="V43" s="347">
        <f>IFERROR(INDEX('[1]Link Out Forecast'!$I$6:$I$266,MATCH($M43,'[1]Link Out Forecast'!$C$6:$C$266,0),1),"")</f>
        <v>-2228630</v>
      </c>
      <c r="W43" s="126"/>
      <c r="X43" s="347">
        <f>IFERROR(INDEX('[1]Link Out Forecast'!$J$6:$J$266,MATCH($M43,'[1]Link Out Forecast'!$C$6:$C$266,0),1),"")</f>
        <v>-1907030</v>
      </c>
      <c r="Y43" s="126"/>
      <c r="Z43" s="347">
        <f>IFERROR(INDEX('[1]Link Out Forecast'!$K$6:$K$266,MATCH($M43,'[1]Link Out Forecast'!$C$6:$C$266,0),1),"")</f>
        <v>-1826160</v>
      </c>
      <c r="AA43" s="126"/>
      <c r="AB43" s="347">
        <f>IFERROR(INDEX('[1]Link Out Forecast'!$L$6:$L$266,MATCH($M43,'[1]Link Out Forecast'!$C$6:$C$266,0),1),"")</f>
        <v>-1873018</v>
      </c>
      <c r="AC43" s="126"/>
      <c r="AD43" s="347">
        <f>IFERROR(INDEX('[1]Link Out Forecast'!$M$6:$M$266,MATCH($M43,'[1]Link Out Forecast'!$C$6:$C$266,0),1),"")</f>
        <v>-1786281</v>
      </c>
      <c r="AE43" s="126"/>
      <c r="AF43" s="347">
        <f>IFERROR(INDEX('[1]Link Out Forecast'!$N$6:$N$266,MATCH($M43,'[1]Link Out Forecast'!$C$6:$C$266,0),1),"")</f>
        <v>-1886723</v>
      </c>
      <c r="AG43" s="126"/>
      <c r="AH43" s="347">
        <f>IFERROR(INDEX('[1]Link Out Forecast'!$O$6:$O$266,MATCH($M43,'[1]Link Out Forecast'!$C$6:$C$266,0),1),"")</f>
        <v>-1897373</v>
      </c>
      <c r="AI43" s="126"/>
      <c r="AJ43" s="347">
        <f>IFERROR(INDEX('[1]Link Out Forecast'!$P$6:$P$266,MATCH($M43,'[1]Link Out Forecast'!$C$6:$C$266,0),1),"")</f>
        <v>-2067211</v>
      </c>
      <c r="AK43" s="126"/>
      <c r="AL43" s="347">
        <f>IFERROR(INDEX('[1]Link Out Forecast'!$Q$6:$Q$266,MATCH($M43,'[1]Link Out Forecast'!$C$6:$C$266,0),1),"")</f>
        <v>-2148393</v>
      </c>
      <c r="AM43" s="126"/>
      <c r="AN43" s="347">
        <f>IFERROR(INDEX('[1]Link Out Forecast'!$R$6:$R$266,MATCH($M43,'[1]Link Out Forecast'!$C$6:$C$266,0),1),"")</f>
        <v>-24608835</v>
      </c>
      <c r="AO43" s="348">
        <f t="shared" ref="AO43:AO49" si="0">SUM(P43:AL43)-AN43</f>
        <v>0</v>
      </c>
    </row>
    <row r="44" spans="1:41" hidden="1">
      <c r="A44" s="303" t="str">
        <f>IFERROR(INDEX('[1]Link Out Monthly BY'!$A$7:$A$517,MATCH($C44,'[1]Link Out Monthly BY'!$C$7:$C$517,0),1),"")</f>
        <v>P02</v>
      </c>
      <c r="B44" s="303" t="str">
        <f>IFERROR(INDEX('[1]Link Out Monthly BY'!$B$7:$B$517,MATCH($C44,'[1]Link Out Monthly BY'!$C$7:$C$517,0),1),"")</f>
        <v>Water revenues - residential</v>
      </c>
      <c r="C44" s="173">
        <v>40111200</v>
      </c>
      <c r="E44" s="303" t="str">
        <f>IFERROR(INDEX('[1]Link Out Monthly BY'!$D$7:$D$517,MATCH($C44,'[1]Link Out Monthly BY'!$C$7:$C$517,0),1),"")</f>
        <v>ResSls Billed DSIC</v>
      </c>
      <c r="G44" s="303" t="str">
        <f>IFERROR(INDEX('[1]Link Out Monthly BY'!$E$7:$E$517,MATCH($C44,'[1]Link Out Monthly BY'!$C$7:$C$517,0),1),"")</f>
        <v>461.1</v>
      </c>
      <c r="I44" s="335">
        <f>IFERROR(INDEX('[1]Link Out Monthly BY'!$R$7:$R$517,MATCH($C44,'[1]Link Out Monthly BY'!$C$7:$C$517,0),1),"")</f>
        <v>456</v>
      </c>
      <c r="K44" s="303" t="str">
        <f>IFERROR(INDEX('[1]Link Out Forecast'!$A$6:$A$266,MATCH($M44,'[1]Link Out Forecast'!$C$6:$C$266,0),1),"")</f>
        <v>P04</v>
      </c>
      <c r="L44" s="303" t="str">
        <f>IFERROR(INDEX('[1]Link Out Forecast'!$B$6:$B$266,MATCH($M44,'[1]Link Out Forecast'!$C$6:$C$266,0),1),"")</f>
        <v>Water revenues - industrial</v>
      </c>
      <c r="M44" s="344">
        <v>40131000</v>
      </c>
      <c r="N44" s="303" t="str">
        <f>IFERROR(INDEX('[1]Link Out Forecast'!$D$6:$D$266,MATCH($M44,'[1]Link Out Forecast'!$C$6:$C$266,0),1),"")</f>
        <v>Ind Sales Billed</v>
      </c>
      <c r="O44" s="303" t="str">
        <f>IFERROR(INDEX('[1]Link Out Forecast'!$E$6:$E$266,MATCH($M44,'[1]Link Out Forecast'!$C$6:$C$266,0),1),"")</f>
        <v>461.3</v>
      </c>
      <c r="P44" s="347">
        <f>IFERROR(INDEX('[1]Link Out Forecast'!$F$6:$F$266,MATCH($M44,'[1]Link Out Forecast'!$C$6:$C$266,0),1),"")</f>
        <v>-256653</v>
      </c>
      <c r="Q44" s="126"/>
      <c r="R44" s="347">
        <f>IFERROR(INDEX('[1]Link Out Forecast'!$G$6:$G$266,MATCH($M44,'[1]Link Out Forecast'!$C$6:$C$266,0),1),"")</f>
        <v>-268543</v>
      </c>
      <c r="S44" s="126"/>
      <c r="T44" s="347">
        <f>IFERROR(INDEX('[1]Link Out Forecast'!$H$6:$H$266,MATCH($M44,'[1]Link Out Forecast'!$C$6:$C$266,0),1),"")</f>
        <v>-249030</v>
      </c>
      <c r="U44" s="126"/>
      <c r="V44" s="347">
        <f>IFERROR(INDEX('[1]Link Out Forecast'!$I$6:$I$266,MATCH($M44,'[1]Link Out Forecast'!$C$6:$C$266,0),1),"")</f>
        <v>-247186</v>
      </c>
      <c r="W44" s="126"/>
      <c r="X44" s="347">
        <f>IFERROR(INDEX('[1]Link Out Forecast'!$J$6:$J$266,MATCH($M44,'[1]Link Out Forecast'!$C$6:$C$266,0),1),"")</f>
        <v>-211977</v>
      </c>
      <c r="Y44" s="126"/>
      <c r="Z44" s="347">
        <f>IFERROR(INDEX('[1]Link Out Forecast'!$K$6:$K$266,MATCH($M44,'[1]Link Out Forecast'!$C$6:$C$266,0),1),"")</f>
        <v>-192847</v>
      </c>
      <c r="AA44" s="126"/>
      <c r="AB44" s="347">
        <f>IFERROR(INDEX('[1]Link Out Forecast'!$L$6:$L$266,MATCH($M44,'[1]Link Out Forecast'!$C$6:$C$266,0),1),"")</f>
        <v>-206286</v>
      </c>
      <c r="AC44" s="126"/>
      <c r="AD44" s="347">
        <f>IFERROR(INDEX('[1]Link Out Forecast'!$M$6:$M$266,MATCH($M44,'[1]Link Out Forecast'!$C$6:$C$266,0),1),"")</f>
        <v>-196733</v>
      </c>
      <c r="AE44" s="126"/>
      <c r="AF44" s="347">
        <f>IFERROR(INDEX('[1]Link Out Forecast'!$N$6:$N$266,MATCH($M44,'[1]Link Out Forecast'!$C$6:$C$266,0),1),"")</f>
        <v>-207795</v>
      </c>
      <c r="AG44" s="126"/>
      <c r="AH44" s="347">
        <f>IFERROR(INDEX('[1]Link Out Forecast'!$O$6:$O$266,MATCH($M44,'[1]Link Out Forecast'!$C$6:$C$266,0),1),"")</f>
        <v>-208968</v>
      </c>
      <c r="AI44" s="126"/>
      <c r="AJ44" s="347">
        <f>IFERROR(INDEX('[1]Link Out Forecast'!$P$6:$P$266,MATCH($M44,'[1]Link Out Forecast'!$C$6:$C$266,0),1),"")</f>
        <v>-227673</v>
      </c>
      <c r="AK44" s="126"/>
      <c r="AL44" s="347">
        <f>IFERROR(INDEX('[1]Link Out Forecast'!$Q$6:$Q$266,MATCH($M44,'[1]Link Out Forecast'!$C$6:$C$266,0),1),"")</f>
        <v>-236614</v>
      </c>
      <c r="AM44" s="126"/>
      <c r="AN44" s="347">
        <f>IFERROR(INDEX('[1]Link Out Forecast'!$R$6:$R$266,MATCH($M44,'[1]Link Out Forecast'!$C$6:$C$266,0),1),"")</f>
        <v>-2710305</v>
      </c>
      <c r="AO44" s="348">
        <f t="shared" si="0"/>
        <v>0</v>
      </c>
    </row>
    <row r="45" spans="1:41" hidden="1">
      <c r="A45" s="303" t="str">
        <f>IFERROR(INDEX('[1]Link Out Monthly BY'!$A$7:$A$517,MATCH($C45,'[1]Link Out Monthly BY'!$C$7:$C$517,0),1),"")</f>
        <v>P02</v>
      </c>
      <c r="B45" s="303" t="str">
        <f>IFERROR(INDEX('[1]Link Out Monthly BY'!$B$7:$B$517,MATCH($C45,'[1]Link Out Monthly BY'!$C$7:$C$517,0),1),"")</f>
        <v>Water revenues - residential</v>
      </c>
      <c r="C45" s="173">
        <v>40112000</v>
      </c>
      <c r="E45" s="303" t="str">
        <f>IFERROR(INDEX('[1]Link Out Monthly BY'!$D$7:$D$517,MATCH($C45,'[1]Link Out Monthly BY'!$C$7:$C$517,0),1),"")</f>
        <v>Res Sales Unbilled</v>
      </c>
      <c r="G45" s="303" t="str">
        <f>IFERROR(INDEX('[1]Link Out Monthly BY'!$E$7:$E$517,MATCH($C45,'[1]Link Out Monthly BY'!$C$7:$C$517,0),1),"")</f>
        <v>461.1</v>
      </c>
      <c r="I45" s="335">
        <f>IFERROR(INDEX('[1]Link Out Monthly BY'!$R$7:$R$517,MATCH($C45,'[1]Link Out Monthly BY'!$C$7:$C$517,0),1),"")</f>
        <v>-416113</v>
      </c>
      <c r="K45" s="303" t="str">
        <f>IFERROR(INDEX('[1]Link Out Forecast'!$A$6:$A$266,MATCH($M45,'[1]Link Out Forecast'!$C$6:$C$266,0),1),"")</f>
        <v>P05</v>
      </c>
      <c r="L45" s="303" t="str">
        <f>IFERROR(INDEX('[1]Link Out Forecast'!$B$6:$B$266,MATCH($M45,'[1]Link Out Forecast'!$C$6:$C$266,0),1),"")</f>
        <v>Water revenues - public fire</v>
      </c>
      <c r="M45" s="344">
        <v>40141000</v>
      </c>
      <c r="N45" s="303" t="str">
        <f>IFERROR(INDEX('[1]Link Out Forecast'!$D$6:$D$266,MATCH($M45,'[1]Link Out Forecast'!$C$6:$C$266,0),1),"")</f>
        <v>Publ Fire Billed</v>
      </c>
      <c r="O45" s="303" t="str">
        <f>IFERROR(INDEX('[1]Link Out Forecast'!$E$6:$E$266,MATCH($M45,'[1]Link Out Forecast'!$C$6:$C$266,0),1),"")</f>
        <v>462.1</v>
      </c>
      <c r="P45" s="347">
        <f>IFERROR(INDEX('[1]Link Out Forecast'!$F$6:$F$266,MATCH($M45,'[1]Link Out Forecast'!$C$6:$C$266,0),1),"")</f>
        <v>-362815</v>
      </c>
      <c r="Q45" s="126"/>
      <c r="R45" s="347">
        <f>IFERROR(INDEX('[1]Link Out Forecast'!$G$6:$G$266,MATCH($M45,'[1]Link Out Forecast'!$C$6:$C$266,0),1),"")</f>
        <v>-362635</v>
      </c>
      <c r="S45" s="126"/>
      <c r="T45" s="347">
        <f>IFERROR(INDEX('[1]Link Out Forecast'!$H$6:$H$266,MATCH($M45,'[1]Link Out Forecast'!$C$6:$C$266,0),1),"")</f>
        <v>-362635</v>
      </c>
      <c r="U45" s="126"/>
      <c r="V45" s="347">
        <f>IFERROR(INDEX('[1]Link Out Forecast'!$I$6:$I$266,MATCH($M45,'[1]Link Out Forecast'!$C$6:$C$266,0),1),"")</f>
        <v>-362995</v>
      </c>
      <c r="W45" s="126"/>
      <c r="X45" s="347">
        <f>IFERROR(INDEX('[1]Link Out Forecast'!$J$6:$J$266,MATCH($M45,'[1]Link Out Forecast'!$C$6:$C$266,0),1),"")</f>
        <v>-363309</v>
      </c>
      <c r="Y45" s="126"/>
      <c r="Z45" s="347">
        <f>IFERROR(INDEX('[1]Link Out Forecast'!$K$6:$K$266,MATCH($M45,'[1]Link Out Forecast'!$C$6:$C$266,0),1),"")</f>
        <v>-363264</v>
      </c>
      <c r="AA45" s="126"/>
      <c r="AB45" s="347">
        <f>IFERROR(INDEX('[1]Link Out Forecast'!$L$6:$L$266,MATCH($M45,'[1]Link Out Forecast'!$C$6:$C$266,0),1),"")</f>
        <v>-314968</v>
      </c>
      <c r="AC45" s="126"/>
      <c r="AD45" s="347">
        <f>IFERROR(INDEX('[1]Link Out Forecast'!$M$6:$M$266,MATCH($M45,'[1]Link Out Forecast'!$C$6:$C$266,0),1),"")</f>
        <v>-300382</v>
      </c>
      <c r="AE45" s="126"/>
      <c r="AF45" s="347">
        <f>IFERROR(INDEX('[1]Link Out Forecast'!$N$6:$N$266,MATCH($M45,'[1]Link Out Forecast'!$C$6:$C$266,0),1),"")</f>
        <v>-317273</v>
      </c>
      <c r="AG45" s="126"/>
      <c r="AH45" s="347">
        <f>IFERROR(INDEX('[1]Link Out Forecast'!$O$6:$O$266,MATCH($M45,'[1]Link Out Forecast'!$C$6:$C$266,0),1),"")</f>
        <v>-319064</v>
      </c>
      <c r="AI45" s="126"/>
      <c r="AJ45" s="347">
        <f>IFERROR(INDEX('[1]Link Out Forecast'!$P$6:$P$266,MATCH($M45,'[1]Link Out Forecast'!$C$6:$C$266,0),1),"")</f>
        <v>-347624</v>
      </c>
      <c r="AK45" s="126"/>
      <c r="AL45" s="347">
        <f>IFERROR(INDEX('[1]Link Out Forecast'!$Q$6:$Q$266,MATCH($M45,'[1]Link Out Forecast'!$C$6:$C$266,0),1),"")</f>
        <v>-361275</v>
      </c>
      <c r="AM45" s="126"/>
      <c r="AN45" s="347">
        <f>IFERROR(INDEX('[1]Link Out Forecast'!$R$6:$R$266,MATCH($M45,'[1]Link Out Forecast'!$C$6:$C$266,0),1),"")</f>
        <v>-4138239</v>
      </c>
      <c r="AO45" s="348">
        <f t="shared" si="0"/>
        <v>0</v>
      </c>
    </row>
    <row r="46" spans="1:41" hidden="1">
      <c r="A46" s="303" t="str">
        <f>IFERROR(INDEX('[1]Link Out Monthly BY'!$A$7:$A$517,MATCH($C46,'[1]Link Out Monthly BY'!$C$7:$C$517,0),1),"")</f>
        <v>P03</v>
      </c>
      <c r="B46" s="303" t="str">
        <f>IFERROR(INDEX('[1]Link Out Monthly BY'!$B$7:$B$517,MATCH($C46,'[1]Link Out Monthly BY'!$C$7:$C$517,0),1),"")</f>
        <v>Water revenues - commercial</v>
      </c>
      <c r="C46" s="344">
        <v>40121000</v>
      </c>
      <c r="E46" s="303" t="str">
        <f>IFERROR(INDEX('[1]Link Out Monthly BY'!$D$7:$D$517,MATCH($C46,'[1]Link Out Monthly BY'!$C$7:$C$517,0),1),"")</f>
        <v>Com Sales Billed</v>
      </c>
      <c r="G46" s="303" t="str">
        <f>IFERROR(INDEX('[1]Link Out Monthly BY'!$E$7:$E$517,MATCH($C46,'[1]Link Out Monthly BY'!$C$7:$C$517,0),1),"")</f>
        <v>461.2</v>
      </c>
      <c r="I46" s="335">
        <f>IFERROR(INDEX('[1]Link Out Monthly BY'!$R$7:$R$517,MATCH($C46,'[1]Link Out Monthly BY'!$C$7:$C$517,0),1),"")</f>
        <v>-22628762</v>
      </c>
      <c r="K46" s="303" t="str">
        <f>IFERROR(INDEX('[1]Link Out Forecast'!$A$6:$A$266,MATCH($M46,'[1]Link Out Forecast'!$C$6:$C$266,0),1),"")</f>
        <v>P06</v>
      </c>
      <c r="L46" s="303" t="str">
        <f>IFERROR(INDEX('[1]Link Out Forecast'!$B$6:$B$266,MATCH($M46,'[1]Link Out Forecast'!$C$6:$C$266,0),1),"")</f>
        <v>Water revenues - private fire</v>
      </c>
      <c r="M46" s="344">
        <v>40145000</v>
      </c>
      <c r="N46" s="303" t="str">
        <f>IFERROR(INDEX('[1]Link Out Forecast'!$D$6:$D$266,MATCH($M46,'[1]Link Out Forecast'!$C$6:$C$266,0),1),"")</f>
        <v>Priv Fire Billed</v>
      </c>
      <c r="O46" s="303" t="str">
        <f>IFERROR(INDEX('[1]Link Out Forecast'!$E$6:$E$266,MATCH($M46,'[1]Link Out Forecast'!$C$6:$C$266,0),1),"")</f>
        <v>462.2</v>
      </c>
      <c r="P46" s="347">
        <f>IFERROR(INDEX('[1]Link Out Forecast'!$F$6:$F$266,MATCH($M46,'[1]Link Out Forecast'!$C$6:$C$266,0),1),"")</f>
        <v>-240530</v>
      </c>
      <c r="Q46" s="126"/>
      <c r="R46" s="347">
        <f>IFERROR(INDEX('[1]Link Out Forecast'!$G$6:$G$266,MATCH($M46,'[1]Link Out Forecast'!$C$6:$C$266,0),1),"")</f>
        <v>-240530</v>
      </c>
      <c r="S46" s="126"/>
      <c r="T46" s="347">
        <f>IFERROR(INDEX('[1]Link Out Forecast'!$H$6:$H$266,MATCH($M46,'[1]Link Out Forecast'!$C$6:$C$266,0),1),"")</f>
        <v>-240530</v>
      </c>
      <c r="U46" s="126"/>
      <c r="V46" s="347">
        <f>IFERROR(INDEX('[1]Link Out Forecast'!$I$6:$I$266,MATCH($M46,'[1]Link Out Forecast'!$C$6:$C$266,0),1),"")</f>
        <v>-240530</v>
      </c>
      <c r="W46" s="126"/>
      <c r="X46" s="347">
        <f>IFERROR(INDEX('[1]Link Out Forecast'!$J$6:$J$266,MATCH($M46,'[1]Link Out Forecast'!$C$6:$C$266,0),1),"")</f>
        <v>-240530</v>
      </c>
      <c r="Y46" s="126"/>
      <c r="Z46" s="347">
        <f>IFERROR(INDEX('[1]Link Out Forecast'!$K$6:$K$266,MATCH($M46,'[1]Link Out Forecast'!$C$6:$C$266,0),1),"")</f>
        <v>-240530</v>
      </c>
      <c r="AA46" s="126"/>
      <c r="AB46" s="347">
        <f>IFERROR(INDEX('[1]Link Out Forecast'!$L$6:$L$266,MATCH($M46,'[1]Link Out Forecast'!$C$6:$C$266,0),1),"")</f>
        <v>-208736</v>
      </c>
      <c r="AC46" s="126"/>
      <c r="AD46" s="347">
        <f>IFERROR(INDEX('[1]Link Out Forecast'!$M$6:$M$266,MATCH($M46,'[1]Link Out Forecast'!$C$6:$C$266,0),1),"")</f>
        <v>-199070</v>
      </c>
      <c r="AE46" s="126"/>
      <c r="AF46" s="347">
        <f>IFERROR(INDEX('[1]Link Out Forecast'!$N$6:$N$266,MATCH($M46,'[1]Link Out Forecast'!$C$6:$C$266,0),1),"")</f>
        <v>-210264</v>
      </c>
      <c r="AG46" s="126"/>
      <c r="AH46" s="347">
        <f>IFERROR(INDEX('[1]Link Out Forecast'!$O$6:$O$266,MATCH($M46,'[1]Link Out Forecast'!$C$6:$C$266,0),1),"")</f>
        <v>-211451</v>
      </c>
      <c r="AI46" s="126"/>
      <c r="AJ46" s="347">
        <f>IFERROR(INDEX('[1]Link Out Forecast'!$P$6:$P$266,MATCH($M46,'[1]Link Out Forecast'!$C$6:$C$266,0),1),"")</f>
        <v>-230378</v>
      </c>
      <c r="AK46" s="126"/>
      <c r="AL46" s="347">
        <f>IFERROR(INDEX('[1]Link Out Forecast'!$Q$6:$Q$266,MATCH($M46,'[1]Link Out Forecast'!$C$6:$C$266,0),1),"")</f>
        <v>-239425</v>
      </c>
      <c r="AM46" s="126"/>
      <c r="AN46" s="347">
        <f>IFERROR(INDEX('[1]Link Out Forecast'!$R$6:$R$266,MATCH($M46,'[1]Link Out Forecast'!$C$6:$C$266,0),1),"")</f>
        <v>-2742504</v>
      </c>
      <c r="AO46" s="348">
        <f t="shared" si="0"/>
        <v>0</v>
      </c>
    </row>
    <row r="47" spans="1:41" hidden="1">
      <c r="A47" s="303" t="str">
        <f>IFERROR(INDEX('[1]Link Out Monthly BY'!$A$7:$A$517,MATCH($C47,'[1]Link Out Monthly BY'!$C$7:$C$517,0),1),"")</f>
        <v>P03</v>
      </c>
      <c r="B47" s="303" t="str">
        <f>IFERROR(INDEX('[1]Link Out Monthly BY'!$B$7:$B$517,MATCH($C47,'[1]Link Out Monthly BY'!$C$7:$C$517,0),1),"")</f>
        <v>Water revenues - commercial</v>
      </c>
      <c r="C47" s="344">
        <v>40122000</v>
      </c>
      <c r="E47" s="303" t="str">
        <f>IFERROR(INDEX('[1]Link Out Monthly BY'!$D$7:$D$517,MATCH($C47,'[1]Link Out Monthly BY'!$C$7:$C$517,0),1),"")</f>
        <v>Com Sales Unbilled</v>
      </c>
      <c r="G47" s="303" t="str">
        <f>IFERROR(INDEX('[1]Link Out Monthly BY'!$E$7:$E$517,MATCH($C47,'[1]Link Out Monthly BY'!$C$7:$C$517,0),1),"")</f>
        <v>461.2</v>
      </c>
      <c r="I47" s="335">
        <f>IFERROR(INDEX('[1]Link Out Monthly BY'!$R$7:$R$517,MATCH($C47,'[1]Link Out Monthly BY'!$C$7:$C$517,0),1),"")</f>
        <v>-427146</v>
      </c>
      <c r="K47" s="303" t="str">
        <f>IFERROR(INDEX('[1]Link Out Forecast'!$A$6:$A$266,MATCH($M47,'[1]Link Out Forecast'!$C$6:$C$266,0),1),"")</f>
        <v>P07</v>
      </c>
      <c r="L47" s="303" t="str">
        <f>IFERROR(INDEX('[1]Link Out Forecast'!$B$6:$B$266,MATCH($M47,'[1]Link Out Forecast'!$C$6:$C$266,0),1),"")</f>
        <v>Water revenues - public authority</v>
      </c>
      <c r="M47" s="344">
        <v>40151000</v>
      </c>
      <c r="N47" s="303" t="str">
        <f>IFERROR(INDEX('[1]Link Out Forecast'!$D$6:$D$266,MATCH($M47,'[1]Link Out Forecast'!$C$6:$C$266,0),1),"")</f>
        <v>Publ Auth Billed</v>
      </c>
      <c r="O47" s="303" t="str">
        <f>IFERROR(INDEX('[1]Link Out Forecast'!$E$6:$E$266,MATCH($M47,'[1]Link Out Forecast'!$C$6:$C$266,0),1),"")</f>
        <v>461.4</v>
      </c>
      <c r="P47" s="347">
        <f>IFERROR(INDEX('[1]Link Out Forecast'!$F$6:$F$266,MATCH($M47,'[1]Link Out Forecast'!$C$6:$C$266,0),1),"")</f>
        <v>-711082</v>
      </c>
      <c r="Q47" s="126"/>
      <c r="R47" s="347">
        <f>IFERROR(INDEX('[1]Link Out Forecast'!$G$6:$G$266,MATCH($M47,'[1]Link Out Forecast'!$C$6:$C$266,0),1),"")</f>
        <v>-734310</v>
      </c>
      <c r="S47" s="126"/>
      <c r="T47" s="347">
        <f>IFERROR(INDEX('[1]Link Out Forecast'!$H$6:$H$266,MATCH($M47,'[1]Link Out Forecast'!$C$6:$C$266,0),1),"")</f>
        <v>-664796</v>
      </c>
      <c r="U47" s="126"/>
      <c r="V47" s="347">
        <f>IFERROR(INDEX('[1]Link Out Forecast'!$I$6:$I$266,MATCH($M47,'[1]Link Out Forecast'!$C$6:$C$266,0),1),"")</f>
        <v>-588305</v>
      </c>
      <c r="W47" s="126"/>
      <c r="X47" s="347">
        <f>IFERROR(INDEX('[1]Link Out Forecast'!$J$6:$J$266,MATCH($M47,'[1]Link Out Forecast'!$C$6:$C$266,0),1),"")</f>
        <v>-478566</v>
      </c>
      <c r="Y47" s="126"/>
      <c r="Z47" s="347">
        <f>IFERROR(INDEX('[1]Link Out Forecast'!$K$6:$K$266,MATCH($M47,'[1]Link Out Forecast'!$C$6:$C$266,0),1),"")</f>
        <v>-440578</v>
      </c>
      <c r="AA47" s="126"/>
      <c r="AB47" s="347">
        <f>IFERROR(INDEX('[1]Link Out Forecast'!$L$6:$L$266,MATCH($M47,'[1]Link Out Forecast'!$C$6:$C$266,0),1),"")</f>
        <v>-523242</v>
      </c>
      <c r="AC47" s="126"/>
      <c r="AD47" s="347">
        <f>IFERROR(INDEX('[1]Link Out Forecast'!$M$6:$M$266,MATCH($M47,'[1]Link Out Forecast'!$C$6:$C$266,0),1),"")</f>
        <v>-499011</v>
      </c>
      <c r="AE47" s="126"/>
      <c r="AF47" s="347">
        <f>IFERROR(INDEX('[1]Link Out Forecast'!$N$6:$N$266,MATCH($M47,'[1]Link Out Forecast'!$C$6:$C$266,0),1),"")</f>
        <v>-527071</v>
      </c>
      <c r="AG47" s="126"/>
      <c r="AH47" s="347">
        <f>IFERROR(INDEX('[1]Link Out Forecast'!$O$6:$O$266,MATCH($M47,'[1]Link Out Forecast'!$C$6:$C$266,0),1),"")</f>
        <v>-530046</v>
      </c>
      <c r="AI47" s="126"/>
      <c r="AJ47" s="347">
        <f>IFERROR(INDEX('[1]Link Out Forecast'!$P$6:$P$266,MATCH($M47,'[1]Link Out Forecast'!$C$6:$C$266,0),1),"")</f>
        <v>-577492</v>
      </c>
      <c r="AK47" s="126"/>
      <c r="AL47" s="347">
        <f>IFERROR(INDEX('[1]Link Out Forecast'!$Q$6:$Q$266,MATCH($M47,'[1]Link Out Forecast'!$C$6:$C$266,0),1),"")</f>
        <v>-600170</v>
      </c>
      <c r="AM47" s="126"/>
      <c r="AN47" s="347">
        <f>IFERROR(INDEX('[1]Link Out Forecast'!$R$6:$R$266,MATCH($M47,'[1]Link Out Forecast'!$C$6:$C$266,0),1),"")</f>
        <v>-6874669</v>
      </c>
      <c r="AO47" s="348">
        <f t="shared" si="0"/>
        <v>0</v>
      </c>
    </row>
    <row r="48" spans="1:41" hidden="1">
      <c r="A48" s="303" t="str">
        <f>IFERROR(INDEX('[1]Link Out Monthly BY'!$A$7:$A$517,MATCH($C48,'[1]Link Out Monthly BY'!$C$7:$C$517,0),1),"")</f>
        <v>P04</v>
      </c>
      <c r="B48" s="303" t="str">
        <f>IFERROR(INDEX('[1]Link Out Monthly BY'!$B$7:$B$517,MATCH($C48,'[1]Link Out Monthly BY'!$C$7:$C$517,0),1),"")</f>
        <v>Water revenues - industrial</v>
      </c>
      <c r="C48" s="344">
        <v>40131000</v>
      </c>
      <c r="E48" s="303" t="str">
        <f>IFERROR(INDEX('[1]Link Out Monthly BY'!$D$7:$D$517,MATCH($C48,'[1]Link Out Monthly BY'!$C$7:$C$517,0),1),"")</f>
        <v>Ind Sales Billed</v>
      </c>
      <c r="G48" s="303" t="str">
        <f>IFERROR(INDEX('[1]Link Out Monthly BY'!$E$7:$E$517,MATCH($C48,'[1]Link Out Monthly BY'!$C$7:$C$517,0),1),"")</f>
        <v>461.3</v>
      </c>
      <c r="I48" s="335">
        <f>IFERROR(INDEX('[1]Link Out Monthly BY'!$R$7:$R$517,MATCH($C48,'[1]Link Out Monthly BY'!$C$7:$C$517,0),1),"")</f>
        <v>-2813213</v>
      </c>
      <c r="K48" s="303" t="str">
        <f>IFERROR(INDEX('[1]Link Out Forecast'!$A$6:$A$266,MATCH($M48,'[1]Link Out Forecast'!$C$6:$C$266,0),1),"")</f>
        <v>P08</v>
      </c>
      <c r="L48" s="303" t="str">
        <f>IFERROR(INDEX('[1]Link Out Forecast'!$B$6:$B$266,MATCH($M48,'[1]Link Out Forecast'!$C$6:$C$266,0),1),"")</f>
        <v>Water revenues - sales for resale</v>
      </c>
      <c r="M48" s="344">
        <v>40161000</v>
      </c>
      <c r="N48" s="303" t="str">
        <f>IFERROR(INDEX('[1]Link Out Forecast'!$D$6:$D$266,MATCH($M48,'[1]Link Out Forecast'!$C$6:$C$266,0),1),"")</f>
        <v>Sls/Rsle Billed</v>
      </c>
      <c r="O48" s="303" t="str">
        <f>IFERROR(INDEX('[1]Link Out Forecast'!$E$6:$E$266,MATCH($M48,'[1]Link Out Forecast'!$C$6:$C$266,0),1),"")</f>
        <v>466.</v>
      </c>
      <c r="P48" s="347">
        <f>IFERROR(INDEX('[1]Link Out Forecast'!$F$6:$F$266,MATCH($M48,'[1]Link Out Forecast'!$C$6:$C$266,0),1),"")</f>
        <v>-211217</v>
      </c>
      <c r="Q48" s="135"/>
      <c r="R48" s="347">
        <f>IFERROR(INDEX('[1]Link Out Forecast'!$G$6:$G$266,MATCH($M48,'[1]Link Out Forecast'!$C$6:$C$266,0),1),"")</f>
        <v>-220411</v>
      </c>
      <c r="S48" s="135"/>
      <c r="T48" s="347">
        <f>IFERROR(INDEX('[1]Link Out Forecast'!$H$6:$H$266,MATCH($M48,'[1]Link Out Forecast'!$C$6:$C$266,0),1),"")</f>
        <v>-209597</v>
      </c>
      <c r="U48" s="135"/>
      <c r="V48" s="347">
        <f>IFERROR(INDEX('[1]Link Out Forecast'!$I$6:$I$266,MATCH($M48,'[1]Link Out Forecast'!$C$6:$C$266,0),1),"")</f>
        <v>-191003</v>
      </c>
      <c r="W48" s="135"/>
      <c r="X48" s="347">
        <f>IFERROR(INDEX('[1]Link Out Forecast'!$J$6:$J$266,MATCH($M48,'[1]Link Out Forecast'!$C$6:$C$266,0),1),"")</f>
        <v>-156868</v>
      </c>
      <c r="Y48" s="135"/>
      <c r="Z48" s="347">
        <f>IFERROR(INDEX('[1]Link Out Forecast'!$K$6:$K$266,MATCH($M48,'[1]Link Out Forecast'!$C$6:$C$266,0),1),"")</f>
        <v>-156497</v>
      </c>
      <c r="AA48" s="135"/>
      <c r="AB48" s="347">
        <f>IFERROR(INDEX('[1]Link Out Forecast'!$L$6:$L$266,MATCH($M48,'[1]Link Out Forecast'!$C$6:$C$266,0),1),"")</f>
        <v>-165694</v>
      </c>
      <c r="AC48" s="135"/>
      <c r="AD48" s="347">
        <f>IFERROR(INDEX('[1]Link Out Forecast'!$M$6:$M$266,MATCH($M48,'[1]Link Out Forecast'!$C$6:$C$266,0),1),"")</f>
        <v>-158021</v>
      </c>
      <c r="AE48" s="135"/>
      <c r="AF48" s="347">
        <f>IFERROR(INDEX('[1]Link Out Forecast'!$N$6:$N$266,MATCH($M48,'[1]Link Out Forecast'!$C$6:$C$266,0),1),"")</f>
        <v>-166907</v>
      </c>
      <c r="AG48" s="135"/>
      <c r="AH48" s="347">
        <f>IFERROR(INDEX('[1]Link Out Forecast'!$O$6:$O$266,MATCH($M48,'[1]Link Out Forecast'!$C$6:$C$266,0),1),"")</f>
        <v>-167849</v>
      </c>
      <c r="AI48" s="135"/>
      <c r="AJ48" s="347">
        <f>IFERROR(INDEX('[1]Link Out Forecast'!$P$6:$P$266,MATCH($M48,'[1]Link Out Forecast'!$C$6:$C$266,0),1),"")</f>
        <v>-182874</v>
      </c>
      <c r="AK48" s="135"/>
      <c r="AL48" s="347">
        <f>IFERROR(INDEX('[1]Link Out Forecast'!$Q$6:$Q$266,MATCH($M48,'[1]Link Out Forecast'!$C$6:$C$266,0),1),"")</f>
        <v>-190055</v>
      </c>
      <c r="AM48" s="135"/>
      <c r="AN48" s="347">
        <f>IFERROR(INDEX('[1]Link Out Forecast'!$R$6:$R$266,MATCH($M48,'[1]Link Out Forecast'!$C$6:$C$266,0),1),"")</f>
        <v>-2176993</v>
      </c>
      <c r="AO48" s="348">
        <f t="shared" si="0"/>
        <v>0</v>
      </c>
    </row>
    <row r="49" spans="1:41" hidden="1">
      <c r="A49" s="303" t="str">
        <f>IFERROR(INDEX('[1]Link Out Monthly BY'!$A$7:$A$517,MATCH($C49,'[1]Link Out Monthly BY'!$C$7:$C$517,0),1),"")</f>
        <v>P04</v>
      </c>
      <c r="B49" s="303" t="str">
        <f>IFERROR(INDEX('[1]Link Out Monthly BY'!$B$7:$B$517,MATCH($C49,'[1]Link Out Monthly BY'!$C$7:$C$517,0),1),"")</f>
        <v>Water revenues - industrial</v>
      </c>
      <c r="C49" s="344">
        <v>40132000</v>
      </c>
      <c r="E49" s="303" t="str">
        <f>IFERROR(INDEX('[1]Link Out Monthly BY'!$D$7:$D$517,MATCH($C49,'[1]Link Out Monthly BY'!$C$7:$C$517,0),1),"")</f>
        <v>Ind Sales Unbilled</v>
      </c>
      <c r="G49" s="303" t="str">
        <f>IFERROR(INDEX('[1]Link Out Monthly BY'!$E$7:$E$517,MATCH($C49,'[1]Link Out Monthly BY'!$C$7:$C$517,0),1),"")</f>
        <v>461.3</v>
      </c>
      <c r="I49" s="335">
        <f>IFERROR(INDEX('[1]Link Out Monthly BY'!$R$7:$R$517,MATCH($C49,'[1]Link Out Monthly BY'!$C$7:$C$517,0),1),"")</f>
        <v>-28117</v>
      </c>
      <c r="K49" s="303" t="str">
        <f>IFERROR(INDEX('[1]Link Out Forecast'!$A$6:$A$266,MATCH($M49,'[1]Link Out Forecast'!$C$6:$C$266,0),1),"")</f>
        <v>P09</v>
      </c>
      <c r="L49" s="303" t="str">
        <f>IFERROR(INDEX('[1]Link Out Forecast'!$B$6:$B$266,MATCH($M49,'[1]Link Out Forecast'!$C$6:$C$266,0),1),"")</f>
        <v>Water revenues - other</v>
      </c>
      <c r="M49" s="344">
        <v>40171000</v>
      </c>
      <c r="N49" s="303" t="str">
        <f>IFERROR(INDEX('[1]Link Out Forecast'!$D$6:$D$266,MATCH($M49,'[1]Link Out Forecast'!$C$6:$C$266,0),1),"")</f>
        <v>Misc Sales Billed</v>
      </c>
      <c r="O49" s="303" t="str">
        <f>IFERROR(INDEX('[1]Link Out Forecast'!$E$6:$E$266,MATCH($M49,'[1]Link Out Forecast'!$C$6:$C$266,0),1),"")</f>
        <v>474.</v>
      </c>
      <c r="P49" s="347">
        <f>IFERROR(INDEX('[1]Link Out Forecast'!$F$6:$F$266,MATCH($M49,'[1]Link Out Forecast'!$C$6:$C$266,0),1),"")</f>
        <v>-7443</v>
      </c>
      <c r="Q49" s="135"/>
      <c r="R49" s="347">
        <f>IFERROR(INDEX('[1]Link Out Forecast'!$G$6:$G$266,MATCH($M49,'[1]Link Out Forecast'!$C$6:$C$266,0),1),"")</f>
        <v>-12099</v>
      </c>
      <c r="S49" s="135"/>
      <c r="T49" s="347">
        <f>IFERROR(INDEX('[1]Link Out Forecast'!$H$6:$H$266,MATCH($M49,'[1]Link Out Forecast'!$C$6:$C$266,0),1),"")</f>
        <v>-6072</v>
      </c>
      <c r="U49" s="135"/>
      <c r="V49" s="347">
        <f>IFERROR(INDEX('[1]Link Out Forecast'!$I$6:$I$266,MATCH($M49,'[1]Link Out Forecast'!$C$6:$C$266,0),1),"")</f>
        <v>-9838</v>
      </c>
      <c r="W49" s="135"/>
      <c r="X49" s="347">
        <f>IFERROR(INDEX('[1]Link Out Forecast'!$J$6:$J$266,MATCH($M49,'[1]Link Out Forecast'!$C$6:$C$266,0),1),"")</f>
        <v>-5643</v>
      </c>
      <c r="Y49" s="135"/>
      <c r="Z49" s="347">
        <f>IFERROR(INDEX('[1]Link Out Forecast'!$K$6:$K$266,MATCH($M49,'[1]Link Out Forecast'!$C$6:$C$266,0),1),"")</f>
        <v>-5180</v>
      </c>
      <c r="AA49" s="135"/>
      <c r="AB49" s="347">
        <f>IFERROR(INDEX('[1]Link Out Forecast'!$L$6:$L$266,MATCH($M49,'[1]Link Out Forecast'!$C$6:$C$266,0),1),"")</f>
        <v>-6693</v>
      </c>
      <c r="AC49" s="135"/>
      <c r="AD49" s="347">
        <f>IFERROR(INDEX('[1]Link Out Forecast'!$M$6:$M$266,MATCH($M49,'[1]Link Out Forecast'!$C$6:$C$266,0),1),"")</f>
        <v>-6383</v>
      </c>
      <c r="AE49" s="135"/>
      <c r="AF49" s="347">
        <f>IFERROR(INDEX('[1]Link Out Forecast'!$N$6:$N$266,MATCH($M49,'[1]Link Out Forecast'!$C$6:$C$266,0),1),"")</f>
        <v>-6742</v>
      </c>
      <c r="AG49" s="135"/>
      <c r="AH49" s="347">
        <f>IFERROR(INDEX('[1]Link Out Forecast'!$O$6:$O$266,MATCH($M49,'[1]Link Out Forecast'!$C$6:$C$266,0),1),"")</f>
        <v>-6780</v>
      </c>
      <c r="AI49" s="135"/>
      <c r="AJ49" s="347">
        <f>IFERROR(INDEX('[1]Link Out Forecast'!$P$6:$P$266,MATCH($M49,'[1]Link Out Forecast'!$C$6:$C$266,0),1),"")</f>
        <v>-7387</v>
      </c>
      <c r="AK49" s="135"/>
      <c r="AL49" s="347">
        <f>IFERROR(INDEX('[1]Link Out Forecast'!$Q$6:$Q$266,MATCH($M49,'[1]Link Out Forecast'!$C$6:$C$266,0),1),"")</f>
        <v>-7677</v>
      </c>
      <c r="AM49" s="135"/>
      <c r="AN49" s="347">
        <f>IFERROR(INDEX('[1]Link Out Forecast'!$R$6:$R$266,MATCH($M49,'[1]Link Out Forecast'!$C$6:$C$266,0),1),"")</f>
        <v>-87937</v>
      </c>
      <c r="AO49" s="348">
        <f t="shared" si="0"/>
        <v>0</v>
      </c>
    </row>
    <row r="50" spans="1:41" hidden="1">
      <c r="A50" s="303" t="str">
        <f>IFERROR(INDEX('[1]Link Out Monthly BY'!$A$7:$A$517,MATCH($C50,'[1]Link Out Monthly BY'!$C$7:$C$517,0),1),"")</f>
        <v>P05</v>
      </c>
      <c r="B50" s="303" t="str">
        <f>IFERROR(INDEX('[1]Link Out Monthly BY'!$B$7:$B$517,MATCH($C50,'[1]Link Out Monthly BY'!$C$7:$C$517,0),1),"")</f>
        <v>Water revenues - public fire</v>
      </c>
      <c r="C50" s="173">
        <v>40141000</v>
      </c>
      <c r="E50" s="303" t="str">
        <f>IFERROR(INDEX('[1]Link Out Monthly BY'!$D$7:$D$517,MATCH($C50,'[1]Link Out Monthly BY'!$C$7:$C$517,0),1),"")</f>
        <v>Publ Fire Billed</v>
      </c>
      <c r="G50" s="303" t="str">
        <f>IFERROR(INDEX('[1]Link Out Monthly BY'!$E$7:$E$517,MATCH($C50,'[1]Link Out Monthly BY'!$C$7:$C$517,0),1),"")</f>
        <v>462.1</v>
      </c>
      <c r="I50" s="335">
        <f>IFERROR(INDEX('[1]Link Out Monthly BY'!$R$7:$R$517,MATCH($C50,'[1]Link Out Monthly BY'!$C$7:$C$517,0),1),"")</f>
        <v>-3807205</v>
      </c>
      <c r="K50" s="303"/>
      <c r="L50" s="303"/>
      <c r="M50" s="344"/>
      <c r="N50" s="303"/>
      <c r="O50" s="303"/>
      <c r="P50" s="347"/>
      <c r="Q50" s="135"/>
      <c r="R50" s="347"/>
      <c r="S50" s="135"/>
      <c r="T50" s="347"/>
      <c r="U50" s="135"/>
      <c r="V50" s="347"/>
      <c r="W50" s="135"/>
      <c r="X50" s="347"/>
      <c r="Y50" s="135"/>
      <c r="Z50" s="347"/>
      <c r="AA50" s="135"/>
      <c r="AB50" s="347"/>
      <c r="AC50" s="135"/>
      <c r="AD50" s="347"/>
      <c r="AE50" s="135"/>
      <c r="AF50" s="347"/>
      <c r="AG50" s="135"/>
      <c r="AH50" s="347"/>
      <c r="AI50" s="135"/>
      <c r="AJ50" s="347"/>
      <c r="AK50" s="135"/>
      <c r="AL50" s="347"/>
      <c r="AM50" s="135"/>
      <c r="AN50" s="347"/>
      <c r="AO50" s="348"/>
    </row>
    <row r="51" spans="1:41" hidden="1">
      <c r="A51" s="303" t="str">
        <f>IFERROR(INDEX('[1]Link Out Monthly BY'!$A$7:$A$517,MATCH($C51,'[1]Link Out Monthly BY'!$C$7:$C$517,0),1),"")</f>
        <v>P05</v>
      </c>
      <c r="B51" s="303" t="str">
        <f>IFERROR(INDEX('[1]Link Out Monthly BY'!$B$7:$B$517,MATCH($C51,'[1]Link Out Monthly BY'!$C$7:$C$517,0),1),"")</f>
        <v>Water revenues - public fire</v>
      </c>
      <c r="C51" s="173">
        <v>40142000</v>
      </c>
      <c r="E51" s="303" t="str">
        <f>IFERROR(INDEX('[1]Link Out Monthly BY'!$D$7:$D$517,MATCH($C51,'[1]Link Out Monthly BY'!$C$7:$C$517,0),1),"")</f>
        <v>Publ Fire Unbilled</v>
      </c>
      <c r="G51" s="303" t="str">
        <f>IFERROR(INDEX('[1]Link Out Monthly BY'!$E$7:$E$517,MATCH($C51,'[1]Link Out Monthly BY'!$C$7:$C$517,0),1),"")</f>
        <v>462.1</v>
      </c>
      <c r="I51" s="335">
        <f>IFERROR(INDEX('[1]Link Out Monthly BY'!$R$7:$R$517,MATCH($C51,'[1]Link Out Monthly BY'!$C$7:$C$517,0),1),"")</f>
        <v>6</v>
      </c>
      <c r="K51" s="303"/>
      <c r="L51" s="303"/>
      <c r="M51" s="344"/>
      <c r="N51" s="303"/>
      <c r="O51" s="303"/>
      <c r="P51" s="347"/>
      <c r="Q51" s="135"/>
      <c r="R51" s="347"/>
      <c r="S51" s="135"/>
      <c r="T51" s="347"/>
      <c r="U51" s="135"/>
      <c r="V51" s="347"/>
      <c r="W51" s="135"/>
      <c r="X51" s="347"/>
      <c r="Y51" s="135"/>
      <c r="Z51" s="347"/>
      <c r="AA51" s="135"/>
      <c r="AB51" s="347"/>
      <c r="AC51" s="135"/>
      <c r="AD51" s="347"/>
      <c r="AE51" s="135"/>
      <c r="AF51" s="347"/>
      <c r="AG51" s="135"/>
      <c r="AH51" s="347"/>
      <c r="AI51" s="135"/>
      <c r="AJ51" s="347"/>
      <c r="AK51" s="135"/>
      <c r="AL51" s="347"/>
      <c r="AM51" s="135"/>
      <c r="AN51" s="347"/>
      <c r="AO51" s="348"/>
    </row>
    <row r="52" spans="1:41" hidden="1">
      <c r="A52" s="303" t="str">
        <f>IFERROR(INDEX('[1]Link Out Monthly BY'!$A$7:$A$517,MATCH($C52,'[1]Link Out Monthly BY'!$C$7:$C$517,0),1),"")</f>
        <v>P06</v>
      </c>
      <c r="B52" s="303" t="str">
        <f>IFERROR(INDEX('[1]Link Out Monthly BY'!$B$7:$B$517,MATCH($C52,'[1]Link Out Monthly BY'!$C$7:$C$517,0),1),"")</f>
        <v>Water revenues - private fire</v>
      </c>
      <c r="C52" s="344">
        <v>40145000</v>
      </c>
      <c r="E52" s="303" t="str">
        <f>IFERROR(INDEX('[1]Link Out Monthly BY'!$D$7:$D$517,MATCH($C52,'[1]Link Out Monthly BY'!$C$7:$C$517,0),1),"")</f>
        <v>Priv Fire Billed</v>
      </c>
      <c r="G52" s="303" t="str">
        <f>IFERROR(INDEX('[1]Link Out Monthly BY'!$E$7:$E$517,MATCH($C52,'[1]Link Out Monthly BY'!$C$7:$C$517,0),1),"")</f>
        <v>462.2</v>
      </c>
      <c r="I52" s="335">
        <f>IFERROR(INDEX('[1]Link Out Monthly BY'!$R$7:$R$517,MATCH($C52,'[1]Link Out Monthly BY'!$C$7:$C$517,0),1),"")</f>
        <v>-2801452</v>
      </c>
      <c r="K52" s="303"/>
      <c r="L52" s="303"/>
      <c r="M52" s="344"/>
      <c r="N52" s="303"/>
      <c r="O52" s="303"/>
      <c r="P52" s="347"/>
      <c r="Q52" s="126"/>
      <c r="R52" s="347"/>
      <c r="S52" s="126"/>
      <c r="T52" s="347"/>
      <c r="U52" s="126"/>
      <c r="V52" s="347"/>
      <c r="W52" s="126"/>
      <c r="X52" s="347"/>
      <c r="Y52" s="126"/>
      <c r="Z52" s="347"/>
      <c r="AA52" s="126"/>
      <c r="AB52" s="347"/>
      <c r="AC52" s="126"/>
      <c r="AD52" s="347"/>
      <c r="AE52" s="126"/>
      <c r="AF52" s="347"/>
      <c r="AG52" s="126"/>
      <c r="AH52" s="347"/>
      <c r="AI52" s="126"/>
      <c r="AJ52" s="347"/>
      <c r="AK52" s="126"/>
      <c r="AL52" s="347"/>
      <c r="AM52" s="126"/>
      <c r="AN52" s="347"/>
      <c r="AO52" s="348"/>
    </row>
    <row r="53" spans="1:41" hidden="1">
      <c r="A53" s="303">
        <f>IFERROR(INDEX('[1]Link Out Monthly BY'!$A$7:$A$517,MATCH($C53,'[1]Link Out Monthly BY'!$C$7:$C$517,0),1),"")</f>
        <v>0</v>
      </c>
      <c r="B53" s="303">
        <f>IFERROR(INDEX('[1]Link Out Monthly BY'!$B$7:$B$517,MATCH($C53,'[1]Link Out Monthly BY'!$C$7:$C$517,0),1),"")</f>
        <v>0</v>
      </c>
      <c r="C53" s="344">
        <v>40145100</v>
      </c>
      <c r="E53" s="303" t="str">
        <f>IFERROR(INDEX('[1]Link Out Monthly BY'!$D$7:$D$517,MATCH($C53,'[1]Link Out Monthly BY'!$C$7:$C$517,0),1),"")</f>
        <v>Priv Fire Billed Sur</v>
      </c>
      <c r="G53" s="303" t="str">
        <f>IFERROR(INDEX('[1]Link Out Monthly BY'!$E$7:$E$517,MATCH($C53,'[1]Link Out Monthly BY'!$C$7:$C$517,0),1),"")</f>
        <v>462.2</v>
      </c>
      <c r="I53" s="335">
        <f>IFERROR(INDEX('[1]Link Out Monthly BY'!$R$7:$R$517,MATCH($C53,'[1]Link Out Monthly BY'!$C$7:$C$517,0),1),"")</f>
        <v>0</v>
      </c>
      <c r="K53" s="303"/>
      <c r="L53" s="303"/>
      <c r="M53" s="344"/>
      <c r="N53" s="303"/>
      <c r="O53" s="303"/>
      <c r="P53" s="347"/>
      <c r="Q53" s="126"/>
      <c r="R53" s="347"/>
      <c r="S53" s="126"/>
      <c r="T53" s="347"/>
      <c r="U53" s="126"/>
      <c r="V53" s="347"/>
      <c r="W53" s="126"/>
      <c r="X53" s="347"/>
      <c r="Y53" s="126"/>
      <c r="Z53" s="347"/>
      <c r="AA53" s="126"/>
      <c r="AB53" s="347"/>
      <c r="AC53" s="126"/>
      <c r="AD53" s="347"/>
      <c r="AE53" s="126"/>
      <c r="AF53" s="347"/>
      <c r="AG53" s="126"/>
      <c r="AH53" s="347"/>
      <c r="AI53" s="126"/>
      <c r="AJ53" s="347"/>
      <c r="AK53" s="126"/>
      <c r="AL53" s="347"/>
      <c r="AM53" s="126"/>
      <c r="AN53" s="347"/>
      <c r="AO53" s="348"/>
    </row>
    <row r="54" spans="1:41" hidden="1">
      <c r="A54" s="303" t="str">
        <f>IFERROR(INDEX('[1]Link Out Monthly BY'!$A$7:$A$517,MATCH($C54,'[1]Link Out Monthly BY'!$C$7:$C$517,0),1),"")</f>
        <v>P06</v>
      </c>
      <c r="B54" s="303" t="str">
        <f>IFERROR(INDEX('[1]Link Out Monthly BY'!$B$7:$B$517,MATCH($C54,'[1]Link Out Monthly BY'!$C$7:$C$517,0),1),"")</f>
        <v>Water revenues - private fire</v>
      </c>
      <c r="C54" s="344">
        <v>40146000</v>
      </c>
      <c r="E54" s="303" t="str">
        <f>IFERROR(INDEX('[1]Link Out Monthly BY'!$D$7:$D$517,MATCH($C54,'[1]Link Out Monthly BY'!$C$7:$C$517,0),1),"")</f>
        <v>Priv Fire Unbilled</v>
      </c>
      <c r="G54" s="303" t="str">
        <f>IFERROR(INDEX('[1]Link Out Monthly BY'!$E$7:$E$517,MATCH($C54,'[1]Link Out Monthly BY'!$C$7:$C$517,0),1),"")</f>
        <v>462.2</v>
      </c>
      <c r="I54" s="335">
        <f>IFERROR(INDEX('[1]Link Out Monthly BY'!$R$7:$R$517,MATCH($C54,'[1]Link Out Monthly BY'!$C$7:$C$517,0),1),"")</f>
        <v>-11165</v>
      </c>
      <c r="K54" s="303"/>
      <c r="L54" s="303"/>
      <c r="M54" s="344"/>
      <c r="N54" s="303"/>
      <c r="O54" s="303"/>
      <c r="P54" s="347"/>
      <c r="Q54" s="126"/>
      <c r="R54" s="347"/>
      <c r="S54" s="126"/>
      <c r="T54" s="347"/>
      <c r="U54" s="126"/>
      <c r="V54" s="347"/>
      <c r="W54" s="126"/>
      <c r="X54" s="347"/>
      <c r="Y54" s="126"/>
      <c r="Z54" s="347"/>
      <c r="AA54" s="126"/>
      <c r="AB54" s="347"/>
      <c r="AC54" s="126"/>
      <c r="AD54" s="347"/>
      <c r="AE54" s="126"/>
      <c r="AF54" s="347"/>
      <c r="AG54" s="126"/>
      <c r="AH54" s="347"/>
      <c r="AI54" s="126"/>
      <c r="AJ54" s="347"/>
      <c r="AK54" s="126"/>
      <c r="AL54" s="347"/>
      <c r="AM54" s="126"/>
      <c r="AN54" s="347"/>
      <c r="AO54" s="348"/>
    </row>
    <row r="55" spans="1:41" hidden="1">
      <c r="A55" s="303" t="str">
        <f>IFERROR(INDEX('[1]Link Out Monthly BY'!$A$7:$A$517,MATCH($C55,'[1]Link Out Monthly BY'!$C$7:$C$517,0),1),"")</f>
        <v>P07</v>
      </c>
      <c r="B55" s="303" t="str">
        <f>IFERROR(INDEX('[1]Link Out Monthly BY'!$B$7:$B$517,MATCH($C55,'[1]Link Out Monthly BY'!$C$7:$C$517,0),1),"")</f>
        <v>Water revenues - public authority</v>
      </c>
      <c r="C55" s="344">
        <v>40151000</v>
      </c>
      <c r="E55" s="303" t="str">
        <f>IFERROR(INDEX('[1]Link Out Monthly BY'!$D$7:$D$517,MATCH($C55,'[1]Link Out Monthly BY'!$C$7:$C$517,0),1),"")</f>
        <v>Publ Auth Billed</v>
      </c>
      <c r="G55" s="303" t="str">
        <f>IFERROR(INDEX('[1]Link Out Monthly BY'!$E$7:$E$517,MATCH($C55,'[1]Link Out Monthly BY'!$C$7:$C$517,0),1),"")</f>
        <v>461.4</v>
      </c>
      <c r="I55" s="335">
        <f>IFERROR(INDEX('[1]Link Out Monthly BY'!$R$7:$R$517,MATCH($C55,'[1]Link Out Monthly BY'!$C$7:$C$517,0),1),"")</f>
        <v>-5785621</v>
      </c>
      <c r="K55" s="303"/>
      <c r="L55" s="303"/>
      <c r="M55" s="344"/>
      <c r="N55" s="303"/>
      <c r="O55" s="303"/>
      <c r="P55" s="347"/>
      <c r="Q55" s="126"/>
      <c r="R55" s="347"/>
      <c r="S55" s="126"/>
      <c r="T55" s="347"/>
      <c r="U55" s="126"/>
      <c r="V55" s="347"/>
      <c r="W55" s="126"/>
      <c r="X55" s="347"/>
      <c r="Y55" s="126"/>
      <c r="Z55" s="347"/>
      <c r="AA55" s="126"/>
      <c r="AB55" s="347"/>
      <c r="AC55" s="126"/>
      <c r="AD55" s="347"/>
      <c r="AE55" s="126"/>
      <c r="AF55" s="347"/>
      <c r="AG55" s="126"/>
      <c r="AH55" s="347"/>
      <c r="AI55" s="126"/>
      <c r="AJ55" s="347"/>
      <c r="AK55" s="126"/>
      <c r="AL55" s="347"/>
      <c r="AM55" s="126"/>
      <c r="AN55" s="347"/>
      <c r="AO55" s="348"/>
    </row>
    <row r="56" spans="1:41" hidden="1">
      <c r="A56" s="303" t="str">
        <f>IFERROR(INDEX('[1]Link Out Monthly BY'!$A$7:$A$517,MATCH($C56,'[1]Link Out Monthly BY'!$C$7:$C$517,0),1),"")</f>
        <v>P07</v>
      </c>
      <c r="B56" s="303" t="str">
        <f>IFERROR(INDEX('[1]Link Out Monthly BY'!$B$7:$B$517,MATCH($C56,'[1]Link Out Monthly BY'!$C$7:$C$517,0),1),"")</f>
        <v>Water revenues - public authority</v>
      </c>
      <c r="C56" s="344">
        <v>40152000</v>
      </c>
      <c r="E56" s="303" t="str">
        <f>IFERROR(INDEX('[1]Link Out Monthly BY'!$D$7:$D$517,MATCH($C56,'[1]Link Out Monthly BY'!$C$7:$C$517,0),1),"")</f>
        <v>Publ Auth Unbilled</v>
      </c>
      <c r="G56" s="303" t="str">
        <f>IFERROR(INDEX('[1]Link Out Monthly BY'!$E$7:$E$517,MATCH($C56,'[1]Link Out Monthly BY'!$C$7:$C$517,0),1),"")</f>
        <v>461.4</v>
      </c>
      <c r="I56" s="335">
        <f>IFERROR(INDEX('[1]Link Out Monthly BY'!$R$7:$R$517,MATCH($C56,'[1]Link Out Monthly BY'!$C$7:$C$517,0),1),"")</f>
        <v>-271611</v>
      </c>
      <c r="K56" s="303"/>
      <c r="L56" s="303"/>
      <c r="M56" s="344"/>
      <c r="N56" s="303"/>
      <c r="O56" s="303"/>
      <c r="P56" s="347"/>
      <c r="Q56" s="126"/>
      <c r="R56" s="347"/>
      <c r="S56" s="126"/>
      <c r="T56" s="347"/>
      <c r="U56" s="126"/>
      <c r="V56" s="347"/>
      <c r="W56" s="126"/>
      <c r="X56" s="347"/>
      <c r="Y56" s="126"/>
      <c r="Z56" s="347"/>
      <c r="AA56" s="126"/>
      <c r="AB56" s="347"/>
      <c r="AC56" s="126"/>
      <c r="AD56" s="347"/>
      <c r="AE56" s="126"/>
      <c r="AF56" s="347"/>
      <c r="AG56" s="126"/>
      <c r="AH56" s="347"/>
      <c r="AI56" s="126"/>
      <c r="AJ56" s="347"/>
      <c r="AK56" s="126"/>
      <c r="AL56" s="347"/>
      <c r="AM56" s="126"/>
      <c r="AN56" s="347"/>
      <c r="AO56" s="348"/>
    </row>
    <row r="57" spans="1:41" hidden="1">
      <c r="A57" s="303" t="str">
        <f>IFERROR(INDEX('[1]Link Out Monthly BY'!$A$7:$A$517,MATCH($C57,'[1]Link Out Monthly BY'!$C$7:$C$517,0),1),"")</f>
        <v>P08</v>
      </c>
      <c r="B57" s="303" t="str">
        <f>IFERROR(INDEX('[1]Link Out Monthly BY'!$B$7:$B$517,MATCH($C57,'[1]Link Out Monthly BY'!$C$7:$C$517,0),1),"")</f>
        <v>Water revenues - sales for resale</v>
      </c>
      <c r="C57" s="344">
        <v>40161000</v>
      </c>
      <c r="E57" s="303" t="str">
        <f>IFERROR(INDEX('[1]Link Out Monthly BY'!$D$7:$D$517,MATCH($C57,'[1]Link Out Monthly BY'!$C$7:$C$517,0),1),"")</f>
        <v>Sls/Rsle Billed</v>
      </c>
      <c r="G57" s="303" t="str">
        <f>IFERROR(INDEX('[1]Link Out Monthly BY'!$E$7:$E$517,MATCH($C57,'[1]Link Out Monthly BY'!$C$7:$C$517,0),1),"")</f>
        <v>466.</v>
      </c>
      <c r="I57" s="335">
        <f>IFERROR(INDEX('[1]Link Out Monthly BY'!$R$7:$R$517,MATCH($C57,'[1]Link Out Monthly BY'!$C$7:$C$517,0),1),"")</f>
        <v>-1882705</v>
      </c>
      <c r="K57" s="303"/>
      <c r="L57" s="303"/>
      <c r="M57" s="344"/>
      <c r="N57" s="303"/>
      <c r="O57" s="303"/>
      <c r="P57" s="347"/>
      <c r="Q57" s="126"/>
      <c r="R57" s="347"/>
      <c r="S57" s="126"/>
      <c r="T57" s="347"/>
      <c r="U57" s="126"/>
      <c r="V57" s="347"/>
      <c r="W57" s="126"/>
      <c r="X57" s="347"/>
      <c r="Y57" s="126"/>
      <c r="Z57" s="347"/>
      <c r="AA57" s="126"/>
      <c r="AB57" s="347"/>
      <c r="AC57" s="126"/>
      <c r="AD57" s="347"/>
      <c r="AE57" s="126"/>
      <c r="AF57" s="347"/>
      <c r="AG57" s="126"/>
      <c r="AH57" s="347"/>
      <c r="AI57" s="126"/>
      <c r="AJ57" s="347"/>
      <c r="AK57" s="126"/>
      <c r="AL57" s="347"/>
      <c r="AM57" s="126"/>
      <c r="AN57" s="347"/>
      <c r="AO57" s="348"/>
    </row>
    <row r="58" spans="1:41" hidden="1">
      <c r="A58" s="303" t="str">
        <f>IFERROR(INDEX('[1]Link Out Monthly BY'!$A$7:$A$517,MATCH($C58,'[1]Link Out Monthly BY'!$C$7:$C$517,0),1),"")</f>
        <v>P08</v>
      </c>
      <c r="B58" s="303" t="str">
        <f>IFERROR(INDEX('[1]Link Out Monthly BY'!$B$7:$B$517,MATCH($C58,'[1]Link Out Monthly BY'!$C$7:$C$517,0),1),"")</f>
        <v>Water revenues - sales for resale</v>
      </c>
      <c r="C58" s="344">
        <v>40161050</v>
      </c>
      <c r="E58" s="303" t="str">
        <f>IFERROR(INDEX('[1]Link Out Monthly BY'!$D$7:$D$517,MATCH($C58,'[1]Link Out Monthly BY'!$C$7:$C$517,0),1),"")</f>
        <v>Sls/Rsle Billed I/C</v>
      </c>
      <c r="G58" s="303" t="str">
        <f>IFERROR(INDEX('[1]Link Out Monthly BY'!$E$7:$E$517,MATCH($C58,'[1]Link Out Monthly BY'!$C$7:$C$517,0),1),"")</f>
        <v>467.</v>
      </c>
      <c r="I58" s="335">
        <f>IFERROR(INDEX('[1]Link Out Monthly BY'!$R$7:$R$517,MATCH($C58,'[1]Link Out Monthly BY'!$C$7:$C$517,0),1),"")</f>
        <v>-15096</v>
      </c>
      <c r="K58" s="303"/>
      <c r="L58" s="303"/>
      <c r="M58" s="344"/>
      <c r="N58" s="303"/>
      <c r="O58" s="303"/>
      <c r="P58" s="347"/>
      <c r="Q58" s="126"/>
      <c r="R58" s="347"/>
      <c r="S58" s="126"/>
      <c r="T58" s="347"/>
      <c r="U58" s="126"/>
      <c r="V58" s="347"/>
      <c r="W58" s="126"/>
      <c r="X58" s="347"/>
      <c r="Y58" s="126"/>
      <c r="Z58" s="347"/>
      <c r="AA58" s="126"/>
      <c r="AB58" s="347"/>
      <c r="AC58" s="126"/>
      <c r="AD58" s="347"/>
      <c r="AE58" s="126"/>
      <c r="AF58" s="347"/>
      <c r="AG58" s="126"/>
      <c r="AH58" s="347"/>
      <c r="AI58" s="126"/>
      <c r="AJ58" s="347"/>
      <c r="AK58" s="126"/>
      <c r="AL58" s="347"/>
      <c r="AM58" s="126"/>
      <c r="AN58" s="347"/>
      <c r="AO58" s="348"/>
    </row>
    <row r="59" spans="1:41" hidden="1">
      <c r="A59" s="303" t="str">
        <f>IFERROR(INDEX('[1]Link Out Monthly BY'!$A$7:$A$517,MATCH($C59,'[1]Link Out Monthly BY'!$C$7:$C$517,0),1),"")</f>
        <v>P08</v>
      </c>
      <c r="B59" s="303" t="str">
        <f>IFERROR(INDEX('[1]Link Out Monthly BY'!$B$7:$B$517,MATCH($C59,'[1]Link Out Monthly BY'!$C$7:$C$517,0),1),"")</f>
        <v>Water revenues - sales for resale</v>
      </c>
      <c r="C59" s="344">
        <v>40162000</v>
      </c>
      <c r="E59" s="303" t="str">
        <f>IFERROR(INDEX('[1]Link Out Monthly BY'!$D$7:$D$517,MATCH($C59,'[1]Link Out Monthly BY'!$C$7:$C$517,0),1),"")</f>
        <v>SalesforRsle Unbilld</v>
      </c>
      <c r="G59" s="303" t="str">
        <f>IFERROR(INDEX('[1]Link Out Monthly BY'!$E$7:$E$517,MATCH($C59,'[1]Link Out Monthly BY'!$C$7:$C$517,0),1),"")</f>
        <v>466.</v>
      </c>
      <c r="I59" s="335">
        <f>IFERROR(INDEX('[1]Link Out Monthly BY'!$R$7:$R$517,MATCH($C59,'[1]Link Out Monthly BY'!$C$7:$C$517,0),1),"")</f>
        <v>-39606</v>
      </c>
      <c r="K59" s="303"/>
      <c r="L59" s="303"/>
      <c r="M59" s="344"/>
      <c r="N59" s="303"/>
      <c r="O59" s="303"/>
      <c r="P59" s="347"/>
      <c r="Q59" s="126"/>
      <c r="R59" s="347"/>
      <c r="S59" s="126"/>
      <c r="T59" s="347"/>
      <c r="U59" s="126"/>
      <c r="V59" s="347"/>
      <c r="W59" s="126"/>
      <c r="X59" s="347"/>
      <c r="Y59" s="126"/>
      <c r="Z59" s="347"/>
      <c r="AA59" s="126"/>
      <c r="AB59" s="347"/>
      <c r="AC59" s="126"/>
      <c r="AD59" s="347"/>
      <c r="AE59" s="126"/>
      <c r="AF59" s="347"/>
      <c r="AG59" s="126"/>
      <c r="AH59" s="347"/>
      <c r="AI59" s="126"/>
      <c r="AJ59" s="347"/>
      <c r="AK59" s="126"/>
      <c r="AL59" s="347"/>
      <c r="AM59" s="126"/>
      <c r="AN59" s="347"/>
      <c r="AO59" s="348"/>
    </row>
    <row r="60" spans="1:41" hidden="1">
      <c r="A60" s="303" t="str">
        <f>IFERROR(INDEX('[1]Link Out Monthly BY'!$A$7:$A$517,MATCH($C60,'[1]Link Out Monthly BY'!$C$7:$C$517,0),1),"")</f>
        <v>P09</v>
      </c>
      <c r="B60" s="303" t="str">
        <f>IFERROR(INDEX('[1]Link Out Monthly BY'!$B$7:$B$517,MATCH($C60,'[1]Link Out Monthly BY'!$C$7:$C$517,0),1),"")</f>
        <v>Water revenues - other</v>
      </c>
      <c r="C60" s="344">
        <v>40171000</v>
      </c>
      <c r="E60" s="303" t="str">
        <f>IFERROR(INDEX('[1]Link Out Monthly BY'!$D$7:$D$517,MATCH($C60,'[1]Link Out Monthly BY'!$C$7:$C$517,0),1),"")</f>
        <v>Misc Sales Billed</v>
      </c>
      <c r="G60" s="303" t="str">
        <f>IFERROR(INDEX('[1]Link Out Monthly BY'!$E$7:$E$517,MATCH($C60,'[1]Link Out Monthly BY'!$C$7:$C$517,0),1),"")</f>
        <v>474.</v>
      </c>
      <c r="I60" s="335">
        <f>IFERROR(INDEX('[1]Link Out Monthly BY'!$R$7:$R$517,MATCH($C60,'[1]Link Out Monthly BY'!$C$7:$C$517,0),1),"")</f>
        <v>-80697</v>
      </c>
      <c r="K60" s="303"/>
      <c r="L60" s="303"/>
      <c r="M60" s="344"/>
      <c r="N60" s="303"/>
      <c r="O60" s="303"/>
      <c r="P60" s="347"/>
      <c r="Q60" s="126"/>
      <c r="R60" s="347"/>
      <c r="S60" s="126"/>
      <c r="T60" s="347"/>
      <c r="U60" s="126"/>
      <c r="V60" s="347"/>
      <c r="W60" s="126"/>
      <c r="X60" s="347"/>
      <c r="Y60" s="126"/>
      <c r="Z60" s="347"/>
      <c r="AA60" s="126"/>
      <c r="AB60" s="347"/>
      <c r="AC60" s="126"/>
      <c r="AD60" s="347"/>
      <c r="AE60" s="126"/>
      <c r="AF60" s="347"/>
      <c r="AG60" s="126"/>
      <c r="AH60" s="347"/>
      <c r="AI60" s="126"/>
      <c r="AJ60" s="347"/>
      <c r="AK60" s="126"/>
      <c r="AL60" s="347"/>
      <c r="AM60" s="126"/>
      <c r="AN60" s="347"/>
      <c r="AO60" s="348"/>
    </row>
    <row r="61" spans="1:41" hidden="1">
      <c r="A61" s="303" t="str">
        <f>IFERROR(INDEX('[1]Link Out Monthly BY'!$A$7:$A$517,MATCH($C61,'[1]Link Out Monthly BY'!$C$7:$C$517,0),1),"")</f>
        <v>P09</v>
      </c>
      <c r="B61" s="303" t="str">
        <f>IFERROR(INDEX('[1]Link Out Monthly BY'!$B$7:$B$517,MATCH($C61,'[1]Link Out Monthly BY'!$C$7:$C$517,0),1),"")</f>
        <v>Water revenues - other</v>
      </c>
      <c r="C61" s="344">
        <v>40171300</v>
      </c>
      <c r="E61" s="303" t="str">
        <f>IFERROR(INDEX('[1]Link Out Monthly BY'!$D$7:$D$517,MATCH($C61,'[1]Link Out Monthly BY'!$C$7:$C$517,0),1),"")</f>
        <v>MiscSls Bill Unmtrd</v>
      </c>
      <c r="G61" s="303" t="str">
        <f>IFERROR(INDEX('[1]Link Out Monthly BY'!$E$7:$E$517,MATCH($C61,'[1]Link Out Monthly BY'!$C$7:$C$517,0),1),"")</f>
        <v>474.</v>
      </c>
      <c r="I61" s="335">
        <f>IFERROR(INDEX('[1]Link Out Monthly BY'!$R$7:$R$517,MATCH($C61,'[1]Link Out Monthly BY'!$C$7:$C$517,0),1),"")</f>
        <v>-150</v>
      </c>
      <c r="K61" s="303"/>
      <c r="L61" s="303"/>
      <c r="M61" s="344"/>
      <c r="N61" s="303"/>
      <c r="O61" s="303"/>
      <c r="P61" s="347"/>
      <c r="Q61" s="126"/>
      <c r="R61" s="347"/>
      <c r="S61" s="126"/>
      <c r="T61" s="347"/>
      <c r="U61" s="126"/>
      <c r="V61" s="347"/>
      <c r="W61" s="126"/>
      <c r="X61" s="347"/>
      <c r="Y61" s="126"/>
      <c r="Z61" s="347"/>
      <c r="AA61" s="126"/>
      <c r="AB61" s="347"/>
      <c r="AC61" s="126"/>
      <c r="AD61" s="347"/>
      <c r="AE61" s="126"/>
      <c r="AF61" s="347"/>
      <c r="AG61" s="126"/>
      <c r="AH61" s="347"/>
      <c r="AI61" s="126"/>
      <c r="AJ61" s="347"/>
      <c r="AK61" s="126"/>
      <c r="AL61" s="347"/>
      <c r="AM61" s="126"/>
      <c r="AN61" s="347"/>
      <c r="AO61" s="348"/>
    </row>
    <row r="62" spans="1:41" hidden="1">
      <c r="A62" s="303" t="str">
        <f>IFERROR(INDEX('[1]Link Out Monthly BY'!$A$7:$A$517,MATCH($C62,'[1]Link Out Monthly BY'!$C$7:$C$517,0),1),"")</f>
        <v>P09</v>
      </c>
      <c r="B62" s="303" t="str">
        <f>IFERROR(INDEX('[1]Link Out Monthly BY'!$B$7:$B$517,MATCH($C62,'[1]Link Out Monthly BY'!$C$7:$C$517,0),1),"")</f>
        <v>Water revenues - other</v>
      </c>
      <c r="C62" s="344">
        <v>40172000</v>
      </c>
      <c r="E62" s="303" t="str">
        <f>IFERROR(INDEX('[1]Link Out Monthly BY'!$D$7:$D$517,MATCH($C62,'[1]Link Out Monthly BY'!$C$7:$C$517,0),1),"")</f>
        <v>Misc Sales Unbilled</v>
      </c>
      <c r="G62" s="303" t="str">
        <f>IFERROR(INDEX('[1]Link Out Monthly BY'!$E$7:$E$517,MATCH($C62,'[1]Link Out Monthly BY'!$C$7:$C$517,0),1),"")</f>
        <v>474.</v>
      </c>
      <c r="I62" s="335">
        <f>IFERROR(INDEX('[1]Link Out Monthly BY'!$R$7:$R$517,MATCH($C62,'[1]Link Out Monthly BY'!$C$7:$C$517,0),1),"")</f>
        <v>1430</v>
      </c>
      <c r="K62" s="303"/>
      <c r="L62" s="303"/>
      <c r="M62" s="344"/>
      <c r="N62" s="303"/>
      <c r="O62" s="303"/>
      <c r="P62" s="347"/>
      <c r="Q62" s="126"/>
      <c r="R62" s="347"/>
      <c r="S62" s="126"/>
      <c r="T62" s="347"/>
      <c r="U62" s="126"/>
      <c r="V62" s="347"/>
      <c r="W62" s="126"/>
      <c r="X62" s="347"/>
      <c r="Y62" s="126"/>
      <c r="Z62" s="347"/>
      <c r="AA62" s="126"/>
      <c r="AB62" s="347"/>
      <c r="AC62" s="126"/>
      <c r="AD62" s="347"/>
      <c r="AE62" s="126"/>
      <c r="AF62" s="347"/>
      <c r="AG62" s="126"/>
      <c r="AH62" s="347"/>
      <c r="AI62" s="126"/>
      <c r="AJ62" s="347"/>
      <c r="AK62" s="126"/>
      <c r="AL62" s="347"/>
      <c r="AM62" s="126"/>
      <c r="AN62" s="347"/>
      <c r="AO62" s="348"/>
    </row>
    <row r="63" spans="1:41" ht="15" hidden="1" thickBot="1">
      <c r="A63" s="303" t="str">
        <f>IFERROR(INDEX('[1]Link Out Monthly BY'!$A$7:$A$517,MATCH($C63,'[1]Link Out Monthly BY'!$C$7:$C$517,0),1),"")</f>
        <v>P09</v>
      </c>
      <c r="B63" s="303" t="str">
        <f>IFERROR(INDEX('[1]Link Out Monthly BY'!$B$7:$B$517,MATCH($C63,'[1]Link Out Monthly BY'!$C$7:$C$517,0),1),"")</f>
        <v>Water revenues - other</v>
      </c>
      <c r="C63" s="344">
        <v>40180100</v>
      </c>
      <c r="E63" s="303" t="str">
        <f>IFERROR(INDEX('[1]Link Out Monthly BY'!$D$7:$D$517,MATCH($C63,'[1]Link Out Monthly BY'!$C$7:$C$517,0),1),"")</f>
        <v>Oth Wtr Rev-Temp Svc</v>
      </c>
      <c r="G63" s="303" t="str">
        <f>IFERROR(INDEX('[1]Link Out Monthly BY'!$E$7:$E$517,MATCH($C63,'[1]Link Out Monthly BY'!$C$7:$C$517,0),1),"")</f>
        <v>471.</v>
      </c>
      <c r="I63" s="335">
        <f>IFERROR(INDEX('[1]Link Out Monthly BY'!$R$7:$R$517,MATCH($C63,'[1]Link Out Monthly BY'!$C$7:$C$517,0),1),"")</f>
        <v>-15</v>
      </c>
      <c r="N63" s="299" t="s">
        <v>24</v>
      </c>
      <c r="O63" s="299"/>
      <c r="P63" s="345">
        <f>SUM(P42:P62)</f>
        <v>-8932575</v>
      </c>
      <c r="Q63" s="345"/>
      <c r="R63" s="345">
        <f>SUM(R42:R62)</f>
        <v>-9073935</v>
      </c>
      <c r="S63" s="345"/>
      <c r="T63" s="345">
        <f>SUM(T42:T62)</f>
        <v>-8846438</v>
      </c>
      <c r="U63" s="345"/>
      <c r="V63" s="345">
        <f>SUM(V42:V62)</f>
        <v>-8501483</v>
      </c>
      <c r="W63" s="345"/>
      <c r="X63" s="345">
        <f>SUM(X42:X62)</f>
        <v>-7617177</v>
      </c>
      <c r="Y63" s="345"/>
      <c r="Z63" s="345">
        <f>SUM(Z42:Z62)</f>
        <v>-7522357</v>
      </c>
      <c r="AA63" s="345"/>
      <c r="AB63" s="345">
        <f>SUM(AB42:AB62)</f>
        <v>-7303266</v>
      </c>
      <c r="AC63" s="345"/>
      <c r="AD63" s="345">
        <f>SUM(AD42:AD62)</f>
        <v>-6965062</v>
      </c>
      <c r="AE63" s="345"/>
      <c r="AF63" s="345">
        <f>SUM(AF42:AF62)</f>
        <v>-7356707</v>
      </c>
      <c r="AG63" s="345"/>
      <c r="AH63" s="345">
        <f>SUM(AH42:AH62)</f>
        <v>-7398232</v>
      </c>
      <c r="AI63" s="345"/>
      <c r="AJ63" s="345">
        <f>SUM(AJ42:AJ62)</f>
        <v>-8060465</v>
      </c>
      <c r="AK63" s="345"/>
      <c r="AL63" s="345">
        <f>SUM(AL42:AL62)</f>
        <v>-8377008</v>
      </c>
      <c r="AM63" s="345"/>
      <c r="AN63" s="345">
        <f>SUM(AN42:AN62)</f>
        <v>-95954705</v>
      </c>
    </row>
    <row r="64" spans="1:41" ht="15" hidden="1" thickTop="1">
      <c r="A64" s="303" t="str">
        <f>IFERROR(INDEX('[1]Link Out Monthly BY'!$A$7:$A$517,MATCH($C64,'[1]Link Out Monthly BY'!$C$7:$C$517,0),1),"")</f>
        <v>P09</v>
      </c>
      <c r="B64" s="303" t="str">
        <f>IFERROR(INDEX('[1]Link Out Monthly BY'!$B$7:$B$517,MATCH($C64,'[1]Link Out Monthly BY'!$C$7:$C$517,0),1),"")</f>
        <v>Water revenues - other</v>
      </c>
      <c r="C64" s="344">
        <v>40189900</v>
      </c>
      <c r="E64" s="303" t="str">
        <f>IFERROR(INDEX('[1]Link Out Monthly BY'!$D$7:$D$517,MATCH($C64,'[1]Link Out Monthly BY'!$C$7:$C$517,0),1),"")</f>
        <v>Other Water Revenue</v>
      </c>
      <c r="G64" s="303" t="str">
        <f>IFERROR(INDEX('[1]Link Out Monthly BY'!$E$7:$E$517,MATCH($C64,'[1]Link Out Monthly BY'!$C$7:$C$517,0),1),"")</f>
        <v>474.</v>
      </c>
      <c r="I64" s="335">
        <f>IFERROR(INDEX('[1]Link Out Monthly BY'!$R$7:$R$517,MATCH($C64,'[1]Link Out Monthly BY'!$C$7:$C$517,0),1),"")</f>
        <v>1363581</v>
      </c>
    </row>
    <row r="65" spans="1:41" s="303" customFormat="1" ht="15" hidden="1" thickBot="1">
      <c r="B65" s="123"/>
      <c r="C65" s="344"/>
      <c r="E65" s="299" t="s">
        <v>24</v>
      </c>
      <c r="F65" s="299"/>
      <c r="G65" s="299"/>
      <c r="H65" s="299"/>
      <c r="I65" s="345">
        <f>SUM(I42:I62)</f>
        <v>-90750788</v>
      </c>
    </row>
    <row r="66" spans="1:41" ht="15" hidden="1" thickTop="1"/>
    <row r="67" spans="1:41" hidden="1">
      <c r="A67" s="303" t="str">
        <f>IFERROR(INDEX('[1]Link Out Monthly BY'!$A$7:$A$517,MATCH($C67,'[1]Link Out Monthly BY'!$C$7:$C$517,0),1),"")</f>
        <v>P11</v>
      </c>
      <c r="B67" s="303" t="str">
        <f>IFERROR(INDEX('[1]Link Out Monthly BY'!$B$7:$B$517,MATCH($C67,'[1]Link Out Monthly BY'!$C$7:$C$517,0),1),"")</f>
        <v>Other revenues</v>
      </c>
      <c r="C67" s="344">
        <v>40310100</v>
      </c>
      <c r="E67" s="303" t="str">
        <f>IFERROR(INDEX('[1]Link Out Monthly BY'!$D$7:$D$517,MATCH($C67,'[1]Link Out Monthly BY'!$C$7:$C$517,0),1),"")</f>
        <v>OthRev-Late Pymt Fee</v>
      </c>
      <c r="G67" s="303" t="str">
        <f>IFERROR(INDEX('[1]Link Out Monthly BY'!$E$7:$E$517,MATCH($C67,'[1]Link Out Monthly BY'!$C$7:$C$517,0),1),"")</f>
        <v>470.</v>
      </c>
      <c r="I67" s="335">
        <f>IFERROR(INDEX('[1]Link Out Monthly BY'!$R$7:$R$517,MATCH($C67,'[1]Link Out Monthly BY'!$C$7:$C$517,0),1),"")</f>
        <v>-837881</v>
      </c>
      <c r="K67" s="303" t="str">
        <f>IFERROR(INDEX('[1]Link Out Forecast'!$A$6:$A$266,MATCH($M67,'[1]Link Out Forecast'!$C$6:$C$266,0),1),"")</f>
        <v>P10</v>
      </c>
      <c r="L67" s="303" t="str">
        <f>IFERROR(INDEX('[1]Link Out Forecast'!$B$6:$B$266,MATCH($M67,'[1]Link Out Forecast'!$C$6:$C$266,0),1),"")</f>
        <v>Sewer revenues</v>
      </c>
      <c r="M67" s="344">
        <v>40211000</v>
      </c>
      <c r="N67" s="303" t="str">
        <f>IFERROR(INDEX('[1]Link Out Forecast'!$D$6:$D$266,MATCH($M67,'[1]Link Out Forecast'!$C$6:$C$266,0),1),"")</f>
        <v>Dom WW Svc Billed</v>
      </c>
      <c r="O67" s="303" t="str">
        <f>IFERROR(INDEX('[1]Link Out Forecast'!$E$6:$E$266,MATCH($M67,'[1]Link Out Forecast'!$C$6:$C$266,0),1),"")</f>
        <v>522.1</v>
      </c>
      <c r="P67" s="347">
        <f>IFERROR(INDEX('[1]Link Out Forecast'!$F$6:$F$266,MATCH($M67,'[1]Link Out Forecast'!$C$6:$C$266,0),1),"")</f>
        <v>0</v>
      </c>
      <c r="Q67" s="135"/>
      <c r="R67" s="347">
        <f>IFERROR(INDEX('[1]Link Out Forecast'!$G$6:$G$266,MATCH($M67,'[1]Link Out Forecast'!$C$6:$C$266,0),1),"")</f>
        <v>0</v>
      </c>
      <c r="S67" s="135"/>
      <c r="T67" s="347">
        <f>IFERROR(INDEX('[1]Link Out Forecast'!$H$6:$H$266,MATCH($M67,'[1]Link Out Forecast'!$C$6:$C$266,0),1),"")</f>
        <v>0</v>
      </c>
      <c r="U67" s="135"/>
      <c r="V67" s="347">
        <f>IFERROR(INDEX('[1]Link Out Forecast'!$I$6:$I$266,MATCH($M67,'[1]Link Out Forecast'!$C$6:$C$266,0),1),"")</f>
        <v>0</v>
      </c>
      <c r="W67" s="135"/>
      <c r="X67" s="347">
        <f>IFERROR(INDEX('[1]Link Out Forecast'!$J$6:$J$266,MATCH($M67,'[1]Link Out Forecast'!$C$6:$C$266,0),1),"")</f>
        <v>0</v>
      </c>
      <c r="Y67" s="135"/>
      <c r="Z67" s="347">
        <f>IFERROR(INDEX('[1]Link Out Forecast'!$K$6:$K$266,MATCH($M67,'[1]Link Out Forecast'!$C$6:$C$266,0),1),"")</f>
        <v>0</v>
      </c>
      <c r="AA67" s="135"/>
      <c r="AB67" s="347">
        <f>IFERROR(INDEX('[1]Link Out Forecast'!$L$6:$L$266,MATCH($M67,'[1]Link Out Forecast'!$C$6:$C$266,0),1),"")</f>
        <v>0</v>
      </c>
      <c r="AC67" s="135"/>
      <c r="AD67" s="347">
        <f>IFERROR(INDEX('[1]Link Out Forecast'!$M$6:$M$266,MATCH($M67,'[1]Link Out Forecast'!$C$6:$C$266,0),1),"")</f>
        <v>0</v>
      </c>
      <c r="AE67" s="135"/>
      <c r="AF67" s="347">
        <f>IFERROR(INDEX('[1]Link Out Forecast'!$N$6:$N$266,MATCH($M67,'[1]Link Out Forecast'!$C$6:$C$266,0),1),"")</f>
        <v>0</v>
      </c>
      <c r="AG67" s="135"/>
      <c r="AH67" s="347">
        <f>IFERROR(INDEX('[1]Link Out Forecast'!$O$6:$O$266,MATCH($M67,'[1]Link Out Forecast'!$C$6:$C$266,0),1),"")</f>
        <v>0</v>
      </c>
      <c r="AI67" s="135"/>
      <c r="AJ67" s="347">
        <f>IFERROR(INDEX('[1]Link Out Forecast'!$P$6:$P$266,MATCH($M67,'[1]Link Out Forecast'!$C$6:$C$266,0),1),"")</f>
        <v>0</v>
      </c>
      <c r="AK67" s="135"/>
      <c r="AL67" s="347">
        <f>IFERROR(INDEX('[1]Link Out Forecast'!$Q$6:$Q$266,MATCH($M67,'[1]Link Out Forecast'!$C$6:$C$266,0),1),"")</f>
        <v>0</v>
      </c>
      <c r="AM67" s="135"/>
      <c r="AN67" s="347">
        <f>IFERROR(INDEX('[1]Link Out Forecast'!$R$6:$R$266,MATCH($M67,'[1]Link Out Forecast'!$C$6:$C$266,0),1),"")</f>
        <v>0</v>
      </c>
      <c r="AO67" s="348">
        <f t="shared" ref="AO67:AO79" si="1">SUM(P67:AL67)-AN67</f>
        <v>0</v>
      </c>
    </row>
    <row r="68" spans="1:41" hidden="1">
      <c r="A68" s="303" t="str">
        <f>IFERROR(INDEX('[1]Link Out Monthly BY'!$A$7:$A$517,MATCH($C68,'[1]Link Out Monthly BY'!$C$7:$C$517,0),1),"")</f>
        <v>P11</v>
      </c>
      <c r="B68" s="303" t="str">
        <f>IFERROR(INDEX('[1]Link Out Monthly BY'!$B$7:$B$517,MATCH($C68,'[1]Link Out Monthly BY'!$C$7:$C$517,0),1),"")</f>
        <v>Other revenues</v>
      </c>
      <c r="C68" s="344">
        <v>40310200</v>
      </c>
      <c r="E68" s="303" t="str">
        <f>IFERROR(INDEX('[1]Link Out Monthly BY'!$D$7:$D$517,MATCH($C68,'[1]Link Out Monthly BY'!$C$7:$C$517,0),1),"")</f>
        <v>OthRev-Rent</v>
      </c>
      <c r="G68" s="303" t="str">
        <f>IFERROR(INDEX('[1]Link Out Monthly BY'!$E$7:$E$517,MATCH($C68,'[1]Link Out Monthly BY'!$C$7:$C$517,0),1),"")</f>
        <v>472.</v>
      </c>
      <c r="I68" s="335">
        <f>IFERROR(INDEX('[1]Link Out Monthly BY'!$R$7:$R$517,MATCH($C68,'[1]Link Out Monthly BY'!$C$7:$C$517,0),1),"")</f>
        <v>-95656</v>
      </c>
      <c r="K68" s="303" t="str">
        <f>IFERROR(INDEX('[1]Link Out Forecast'!$A$6:$A$266,MATCH($M68,'[1]Link Out Forecast'!$C$6:$C$266,0),1),"")</f>
        <v>P10</v>
      </c>
      <c r="L68" s="303" t="str">
        <f>IFERROR(INDEX('[1]Link Out Forecast'!$B$6:$B$266,MATCH($M68,'[1]Link Out Forecast'!$C$6:$C$266,0),1),"")</f>
        <v>Sewer revenues</v>
      </c>
      <c r="M68" s="344">
        <v>40221000</v>
      </c>
      <c r="N68" s="303" t="str">
        <f>IFERROR(INDEX('[1]Link Out Forecast'!$D$6:$D$266,MATCH($M68,'[1]Link Out Forecast'!$C$6:$C$266,0),1),"")</f>
        <v>Com WW Svc Billed</v>
      </c>
      <c r="O68" s="303" t="str">
        <f>IFERROR(INDEX('[1]Link Out Forecast'!$E$6:$E$266,MATCH($M68,'[1]Link Out Forecast'!$C$6:$C$266,0),1),"")</f>
        <v>522.2</v>
      </c>
      <c r="P68" s="347">
        <f>IFERROR(INDEX('[1]Link Out Forecast'!$F$6:$F$266,MATCH($M68,'[1]Link Out Forecast'!$C$6:$C$266,0),1),"")</f>
        <v>0</v>
      </c>
      <c r="Q68" s="135"/>
      <c r="R68" s="347">
        <f>IFERROR(INDEX('[1]Link Out Forecast'!$G$6:$G$266,MATCH($M68,'[1]Link Out Forecast'!$C$6:$C$266,0),1),"")</f>
        <v>0</v>
      </c>
      <c r="S68" s="135"/>
      <c r="T68" s="347">
        <f>IFERROR(INDEX('[1]Link Out Forecast'!$H$6:$H$266,MATCH($M68,'[1]Link Out Forecast'!$C$6:$C$266,0),1),"")</f>
        <v>0</v>
      </c>
      <c r="U68" s="135"/>
      <c r="V68" s="347">
        <f>IFERROR(INDEX('[1]Link Out Forecast'!$I$6:$I$266,MATCH($M68,'[1]Link Out Forecast'!$C$6:$C$266,0),1),"")</f>
        <v>0</v>
      </c>
      <c r="W68" s="135"/>
      <c r="X68" s="347">
        <f>IFERROR(INDEX('[1]Link Out Forecast'!$J$6:$J$266,MATCH($M68,'[1]Link Out Forecast'!$C$6:$C$266,0),1),"")</f>
        <v>0</v>
      </c>
      <c r="Y68" s="135"/>
      <c r="Z68" s="347">
        <f>IFERROR(INDEX('[1]Link Out Forecast'!$K$6:$K$266,MATCH($M68,'[1]Link Out Forecast'!$C$6:$C$266,0),1),"")</f>
        <v>0</v>
      </c>
      <c r="AA68" s="135"/>
      <c r="AB68" s="347">
        <f>IFERROR(INDEX('[1]Link Out Forecast'!$L$6:$L$266,MATCH($M68,'[1]Link Out Forecast'!$C$6:$C$266,0),1),"")</f>
        <v>0</v>
      </c>
      <c r="AC68" s="135"/>
      <c r="AD68" s="347">
        <f>IFERROR(INDEX('[1]Link Out Forecast'!$M$6:$M$266,MATCH($M68,'[1]Link Out Forecast'!$C$6:$C$266,0),1),"")</f>
        <v>0</v>
      </c>
      <c r="AE68" s="135"/>
      <c r="AF68" s="347">
        <f>IFERROR(INDEX('[1]Link Out Forecast'!$N$6:$N$266,MATCH($M68,'[1]Link Out Forecast'!$C$6:$C$266,0),1),"")</f>
        <v>0</v>
      </c>
      <c r="AG68" s="135"/>
      <c r="AH68" s="347">
        <f>IFERROR(INDEX('[1]Link Out Forecast'!$O$6:$O$266,MATCH($M68,'[1]Link Out Forecast'!$C$6:$C$266,0),1),"")</f>
        <v>0</v>
      </c>
      <c r="AI68" s="135"/>
      <c r="AJ68" s="347">
        <f>IFERROR(INDEX('[1]Link Out Forecast'!$P$6:$P$266,MATCH($M68,'[1]Link Out Forecast'!$C$6:$C$266,0),1),"")</f>
        <v>0</v>
      </c>
      <c r="AK68" s="135"/>
      <c r="AL68" s="347">
        <f>IFERROR(INDEX('[1]Link Out Forecast'!$Q$6:$Q$266,MATCH($M68,'[1]Link Out Forecast'!$C$6:$C$266,0),1),"")</f>
        <v>0</v>
      </c>
      <c r="AM68" s="135"/>
      <c r="AN68" s="347">
        <f>IFERROR(INDEX('[1]Link Out Forecast'!$R$6:$R$266,MATCH($M68,'[1]Link Out Forecast'!$C$6:$C$266,0),1),"")</f>
        <v>0</v>
      </c>
      <c r="AO68" s="348">
        <f t="shared" si="1"/>
        <v>0</v>
      </c>
    </row>
    <row r="69" spans="1:41" hidden="1">
      <c r="A69" s="303" t="str">
        <f>IFERROR(INDEX('[1]Link Out Monthly BY'!$A$7:$A$517,MATCH($C69,'[1]Link Out Monthly BY'!$C$7:$C$517,0),1),"")</f>
        <v>P11</v>
      </c>
      <c r="B69" s="303" t="str">
        <f>IFERROR(INDEX('[1]Link Out Monthly BY'!$B$7:$B$517,MATCH($C69,'[1]Link Out Monthly BY'!$C$7:$C$517,0),1),"")</f>
        <v>Other revenues</v>
      </c>
      <c r="C69" s="344">
        <v>40310250</v>
      </c>
      <c r="E69" s="303" t="str">
        <f>IFERROR(INDEX('[1]Link Out Monthly BY'!$D$7:$D$517,MATCH($C69,'[1]Link Out Monthly BY'!$C$7:$C$517,0),1),"")</f>
        <v>OthRev-Rent I/C</v>
      </c>
      <c r="G69" s="303" t="str">
        <f>IFERROR(INDEX('[1]Link Out Monthly BY'!$E$7:$E$517,MATCH($C69,'[1]Link Out Monthly BY'!$C$7:$C$517,0),1),"")</f>
        <v>473.</v>
      </c>
      <c r="I69" s="335">
        <f>IFERROR(INDEX('[1]Link Out Monthly BY'!$R$7:$R$517,MATCH($C69,'[1]Link Out Monthly BY'!$C$7:$C$517,0),1),"")</f>
        <v>-154932</v>
      </c>
      <c r="K69" s="303" t="str">
        <f>IFERROR(INDEX('[1]Link Out Forecast'!$A$6:$A$266,MATCH($M69,'[1]Link Out Forecast'!$C$6:$C$266,0),1),"")</f>
        <v>P10</v>
      </c>
      <c r="L69" s="303" t="str">
        <f>IFERROR(INDEX('[1]Link Out Forecast'!$B$6:$B$266,MATCH($M69,'[1]Link Out Forecast'!$C$6:$C$266,0),1),"")</f>
        <v>Sewer revenues</v>
      </c>
      <c r="M69" s="344">
        <v>40231000</v>
      </c>
      <c r="N69" s="303" t="str">
        <f>IFERROR(INDEX('[1]Link Out Forecast'!$D$6:$D$266,MATCH($M69,'[1]Link Out Forecast'!$C$6:$C$266,0),1),"")</f>
        <v>Ind WW Svc Billed</v>
      </c>
      <c r="O69" s="303" t="str">
        <f>IFERROR(INDEX('[1]Link Out Forecast'!$E$6:$E$266,MATCH($M69,'[1]Link Out Forecast'!$C$6:$C$266,0),1),"")</f>
        <v>522.3</v>
      </c>
      <c r="P69" s="347">
        <f>IFERROR(INDEX('[1]Link Out Forecast'!$F$6:$F$266,MATCH($M69,'[1]Link Out Forecast'!$C$6:$C$266,0),1),"")</f>
        <v>0</v>
      </c>
      <c r="Q69" s="126"/>
      <c r="R69" s="347">
        <f>IFERROR(INDEX('[1]Link Out Forecast'!$G$6:$G$266,MATCH($M69,'[1]Link Out Forecast'!$C$6:$C$266,0),1),"")</f>
        <v>0</v>
      </c>
      <c r="S69" s="126"/>
      <c r="T69" s="347">
        <f>IFERROR(INDEX('[1]Link Out Forecast'!$H$6:$H$266,MATCH($M69,'[1]Link Out Forecast'!$C$6:$C$266,0),1),"")</f>
        <v>0</v>
      </c>
      <c r="U69" s="126"/>
      <c r="V69" s="347">
        <f>IFERROR(INDEX('[1]Link Out Forecast'!$I$6:$I$266,MATCH($M69,'[1]Link Out Forecast'!$C$6:$C$266,0),1),"")</f>
        <v>0</v>
      </c>
      <c r="W69" s="126"/>
      <c r="X69" s="347">
        <f>IFERROR(INDEX('[1]Link Out Forecast'!$J$6:$J$266,MATCH($M69,'[1]Link Out Forecast'!$C$6:$C$266,0),1),"")</f>
        <v>0</v>
      </c>
      <c r="Y69" s="126"/>
      <c r="Z69" s="347">
        <f>IFERROR(INDEX('[1]Link Out Forecast'!$K$6:$K$266,MATCH($M69,'[1]Link Out Forecast'!$C$6:$C$266,0),1),"")</f>
        <v>0</v>
      </c>
      <c r="AA69" s="126"/>
      <c r="AB69" s="347">
        <f>IFERROR(INDEX('[1]Link Out Forecast'!$L$6:$L$266,MATCH($M69,'[1]Link Out Forecast'!$C$6:$C$266,0),1),"")</f>
        <v>0</v>
      </c>
      <c r="AC69" s="126"/>
      <c r="AD69" s="347">
        <f>IFERROR(INDEX('[1]Link Out Forecast'!$M$6:$M$266,MATCH($M69,'[1]Link Out Forecast'!$C$6:$C$266,0),1),"")</f>
        <v>0</v>
      </c>
      <c r="AE69" s="126"/>
      <c r="AF69" s="347">
        <f>IFERROR(INDEX('[1]Link Out Forecast'!$N$6:$N$266,MATCH($M69,'[1]Link Out Forecast'!$C$6:$C$266,0),1),"")</f>
        <v>0</v>
      </c>
      <c r="AG69" s="126"/>
      <c r="AH69" s="347">
        <f>IFERROR(INDEX('[1]Link Out Forecast'!$O$6:$O$266,MATCH($M69,'[1]Link Out Forecast'!$C$6:$C$266,0),1),"")</f>
        <v>0</v>
      </c>
      <c r="AI69" s="126"/>
      <c r="AJ69" s="347">
        <f>IFERROR(INDEX('[1]Link Out Forecast'!$P$6:$P$266,MATCH($M69,'[1]Link Out Forecast'!$C$6:$C$266,0),1),"")</f>
        <v>0</v>
      </c>
      <c r="AK69" s="126"/>
      <c r="AL69" s="347">
        <f>IFERROR(INDEX('[1]Link Out Forecast'!$Q$6:$Q$266,MATCH($M69,'[1]Link Out Forecast'!$C$6:$C$266,0),1),"")</f>
        <v>0</v>
      </c>
      <c r="AM69" s="126"/>
      <c r="AN69" s="347">
        <f>IFERROR(INDEX('[1]Link Out Forecast'!$R$6:$R$266,MATCH($M69,'[1]Link Out Forecast'!$C$6:$C$266,0),1),"")</f>
        <v>0</v>
      </c>
      <c r="AO69" s="348">
        <f t="shared" si="1"/>
        <v>0</v>
      </c>
    </row>
    <row r="70" spans="1:41" hidden="1">
      <c r="A70" s="303" t="str">
        <f>IFERROR(INDEX('[1]Link Out Monthly BY'!$A$7:$A$517,MATCH($C70,'[1]Link Out Monthly BY'!$C$7:$C$517,0),1),"")</f>
        <v>P11</v>
      </c>
      <c r="B70" s="303" t="str">
        <f>IFERROR(INDEX('[1]Link Out Monthly BY'!$B$7:$B$517,MATCH($C70,'[1]Link Out Monthly BY'!$C$7:$C$517,0),1),"")</f>
        <v>Other revenues</v>
      </c>
      <c r="C70" s="344">
        <v>40310300</v>
      </c>
      <c r="E70" s="303" t="str">
        <f>IFERROR(INDEX('[1]Link Out Monthly BY'!$D$7:$D$517,MATCH($C70,'[1]Link Out Monthly BY'!$C$7:$C$517,0),1),"")</f>
        <v>OthRev-CFO</v>
      </c>
      <c r="G70" s="303" t="str">
        <f>IFERROR(INDEX('[1]Link Out Monthly BY'!$E$7:$E$517,MATCH($C70,'[1]Link Out Monthly BY'!$C$7:$C$517,0),1),"")</f>
        <v>471.</v>
      </c>
      <c r="I70" s="335">
        <f>IFERROR(INDEX('[1]Link Out Monthly BY'!$R$7:$R$517,MATCH($C70,'[1]Link Out Monthly BY'!$C$7:$C$517,0),1),"")</f>
        <v>0</v>
      </c>
      <c r="K70" s="303" t="str">
        <f>IFERROR(INDEX('[1]Link Out Forecast'!$A$6:$A$266,MATCH($M70,'[1]Link Out Forecast'!$C$6:$C$266,0),1),"")</f>
        <v>P10</v>
      </c>
      <c r="L70" s="303" t="str">
        <f>IFERROR(INDEX('[1]Link Out Forecast'!$B$6:$B$266,MATCH($M70,'[1]Link Out Forecast'!$C$6:$C$266,0),1),"")</f>
        <v>Sewer revenues</v>
      </c>
      <c r="M70" s="344">
        <v>40251000</v>
      </c>
      <c r="N70" s="303" t="str">
        <f>IFERROR(INDEX('[1]Link Out Forecast'!$D$6:$D$266,MATCH($M70,'[1]Link Out Forecast'!$C$6:$C$266,0),1),"")</f>
        <v>PubAuth WW Billed</v>
      </c>
      <c r="O70" s="303" t="str">
        <f>IFERROR(INDEX('[1]Link Out Forecast'!$E$6:$E$266,MATCH($M70,'[1]Link Out Forecast'!$C$6:$C$266,0),1),"")</f>
        <v>522.4</v>
      </c>
      <c r="P70" s="347">
        <f>IFERROR(INDEX('[1]Link Out Forecast'!$F$6:$F$266,MATCH($M70,'[1]Link Out Forecast'!$C$6:$C$266,0),1),"")</f>
        <v>0</v>
      </c>
      <c r="Q70" s="126"/>
      <c r="R70" s="347">
        <f>IFERROR(INDEX('[1]Link Out Forecast'!$G$6:$G$266,MATCH($M70,'[1]Link Out Forecast'!$C$6:$C$266,0),1),"")</f>
        <v>0</v>
      </c>
      <c r="S70" s="126"/>
      <c r="T70" s="347">
        <f>IFERROR(INDEX('[1]Link Out Forecast'!$H$6:$H$266,MATCH($M70,'[1]Link Out Forecast'!$C$6:$C$266,0),1),"")</f>
        <v>0</v>
      </c>
      <c r="U70" s="126"/>
      <c r="V70" s="347">
        <f>IFERROR(INDEX('[1]Link Out Forecast'!$I$6:$I$266,MATCH($M70,'[1]Link Out Forecast'!$C$6:$C$266,0),1),"")</f>
        <v>0</v>
      </c>
      <c r="W70" s="126"/>
      <c r="X70" s="347">
        <f>IFERROR(INDEX('[1]Link Out Forecast'!$J$6:$J$266,MATCH($M70,'[1]Link Out Forecast'!$C$6:$C$266,0),1),"")</f>
        <v>0</v>
      </c>
      <c r="Y70" s="126"/>
      <c r="Z70" s="347">
        <f>IFERROR(INDEX('[1]Link Out Forecast'!$K$6:$K$266,MATCH($M70,'[1]Link Out Forecast'!$C$6:$C$266,0),1),"")</f>
        <v>0</v>
      </c>
      <c r="AA70" s="126"/>
      <c r="AB70" s="347">
        <f>IFERROR(INDEX('[1]Link Out Forecast'!$L$6:$L$266,MATCH($M70,'[1]Link Out Forecast'!$C$6:$C$266,0),1),"")</f>
        <v>0</v>
      </c>
      <c r="AC70" s="126"/>
      <c r="AD70" s="347">
        <f>IFERROR(INDEX('[1]Link Out Forecast'!$M$6:$M$266,MATCH($M70,'[1]Link Out Forecast'!$C$6:$C$266,0),1),"")</f>
        <v>0</v>
      </c>
      <c r="AE70" s="126"/>
      <c r="AF70" s="347">
        <f>IFERROR(INDEX('[1]Link Out Forecast'!$N$6:$N$266,MATCH($M70,'[1]Link Out Forecast'!$C$6:$C$266,0),1),"")</f>
        <v>0</v>
      </c>
      <c r="AG70" s="126"/>
      <c r="AH70" s="347">
        <f>IFERROR(INDEX('[1]Link Out Forecast'!$O$6:$O$266,MATCH($M70,'[1]Link Out Forecast'!$C$6:$C$266,0),1),"")</f>
        <v>0</v>
      </c>
      <c r="AI70" s="126"/>
      <c r="AJ70" s="347">
        <f>IFERROR(INDEX('[1]Link Out Forecast'!$P$6:$P$266,MATCH($M70,'[1]Link Out Forecast'!$C$6:$C$266,0),1),"")</f>
        <v>0</v>
      </c>
      <c r="AK70" s="126"/>
      <c r="AL70" s="347">
        <f>IFERROR(INDEX('[1]Link Out Forecast'!$Q$6:$Q$266,MATCH($M70,'[1]Link Out Forecast'!$C$6:$C$266,0),1),"")</f>
        <v>0</v>
      </c>
      <c r="AM70" s="126"/>
      <c r="AN70" s="347">
        <f>IFERROR(INDEX('[1]Link Out Forecast'!$R$6:$R$266,MATCH($M70,'[1]Link Out Forecast'!$C$6:$C$266,0),1),"")</f>
        <v>0</v>
      </c>
      <c r="AO70" s="348">
        <f t="shared" si="1"/>
        <v>0</v>
      </c>
    </row>
    <row r="71" spans="1:41" hidden="1">
      <c r="A71" s="303" t="str">
        <f>IFERROR(INDEX('[1]Link Out Monthly BY'!$A$7:$A$517,MATCH($C71,'[1]Link Out Monthly BY'!$C$7:$C$517,0),1),"")</f>
        <v>P11</v>
      </c>
      <c r="B71" s="303" t="str">
        <f>IFERROR(INDEX('[1]Link Out Monthly BY'!$B$7:$B$517,MATCH($C71,'[1]Link Out Monthly BY'!$C$7:$C$517,0),1),"")</f>
        <v>Other revenues</v>
      </c>
      <c r="C71" s="344">
        <v>40310400</v>
      </c>
      <c r="E71" s="303" t="str">
        <f>IFERROR(INDEX('[1]Link Out Monthly BY'!$D$7:$D$517,MATCH($C71,'[1]Link Out Monthly BY'!$C$7:$C$517,0),1),"")</f>
        <v>OthRev-NSF Ck Chrg</v>
      </c>
      <c r="G71" s="303" t="str">
        <f>IFERROR(INDEX('[1]Link Out Monthly BY'!$E$7:$E$517,MATCH($C71,'[1]Link Out Monthly BY'!$C$7:$C$517,0),1),"")</f>
        <v>471.</v>
      </c>
      <c r="I71" s="335">
        <f>IFERROR(INDEX('[1]Link Out Monthly BY'!$R$7:$R$517,MATCH($C71,'[1]Link Out Monthly BY'!$C$7:$C$517,0),1),"")</f>
        <v>-30420</v>
      </c>
      <c r="K71" s="303" t="str">
        <f>IFERROR(INDEX('[1]Link Out Forecast'!$A$6:$A$266,MATCH($M71,'[1]Link Out Forecast'!$C$6:$C$266,0),1),"")</f>
        <v>P11</v>
      </c>
      <c r="L71" s="303" t="str">
        <f>IFERROR(INDEX('[1]Link Out Forecast'!$B$6:$B$266,MATCH($M71,'[1]Link Out Forecast'!$C$6:$C$266,0),1),"")</f>
        <v>Other revenues</v>
      </c>
      <c r="M71" s="344">
        <v>40310100</v>
      </c>
      <c r="N71" s="303" t="str">
        <f>IFERROR(INDEX('[1]Link Out Forecast'!$D$6:$D$266,MATCH($M71,'[1]Link Out Forecast'!$C$6:$C$266,0),1),"")</f>
        <v>OthRev-Late Pymt Fee</v>
      </c>
      <c r="O71" s="303" t="str">
        <f>IFERROR(INDEX('[1]Link Out Forecast'!$E$6:$E$266,MATCH($M71,'[1]Link Out Forecast'!$C$6:$C$266,0),1),"")</f>
        <v>470.</v>
      </c>
      <c r="P71" s="347">
        <f>IFERROR(INDEX('[1]Link Out Forecast'!$F$6:$F$266,MATCH($M71,'[1]Link Out Forecast'!$C$6:$C$266,0),1),"")</f>
        <v>-73916</v>
      </c>
      <c r="Q71" s="126"/>
      <c r="R71" s="347">
        <f>IFERROR(INDEX('[1]Link Out Forecast'!$G$6:$G$266,MATCH($M71,'[1]Link Out Forecast'!$C$6:$C$266,0),1),"")</f>
        <v>-84582</v>
      </c>
      <c r="S71" s="126"/>
      <c r="T71" s="347">
        <f>IFERROR(INDEX('[1]Link Out Forecast'!$H$6:$H$266,MATCH($M71,'[1]Link Out Forecast'!$C$6:$C$266,0),1),"")</f>
        <v>-76592</v>
      </c>
      <c r="U71" s="126"/>
      <c r="V71" s="347">
        <f>IFERROR(INDEX('[1]Link Out Forecast'!$I$6:$I$266,MATCH($M71,'[1]Link Out Forecast'!$C$6:$C$266,0),1),"")</f>
        <v>-78318</v>
      </c>
      <c r="W71" s="126"/>
      <c r="X71" s="347">
        <f>IFERROR(INDEX('[1]Link Out Forecast'!$J$6:$J$266,MATCH($M71,'[1]Link Out Forecast'!$C$6:$C$266,0),1),"")</f>
        <v>-71824</v>
      </c>
      <c r="Y71" s="126"/>
      <c r="Z71" s="347">
        <f>IFERROR(INDEX('[1]Link Out Forecast'!$K$6:$K$266,MATCH($M71,'[1]Link Out Forecast'!$C$6:$C$266,0),1),"")</f>
        <v>-71924</v>
      </c>
      <c r="AA71" s="126"/>
      <c r="AB71" s="347">
        <f>IFERROR(INDEX('[1]Link Out Forecast'!$L$6:$L$266,MATCH($M71,'[1]Link Out Forecast'!$C$6:$C$266,0),1),"")</f>
        <v>-68363</v>
      </c>
      <c r="AC71" s="126"/>
      <c r="AD71" s="347">
        <f>IFERROR(INDEX('[1]Link Out Forecast'!$M$6:$M$266,MATCH($M71,'[1]Link Out Forecast'!$C$6:$C$266,0),1),"")</f>
        <v>-68063</v>
      </c>
      <c r="AE71" s="126"/>
      <c r="AF71" s="347">
        <f>IFERROR(INDEX('[1]Link Out Forecast'!$N$6:$N$266,MATCH($M71,'[1]Link Out Forecast'!$C$6:$C$266,0),1),"")</f>
        <v>-69462</v>
      </c>
      <c r="AG71" s="126"/>
      <c r="AH71" s="347">
        <f>IFERROR(INDEX('[1]Link Out Forecast'!$O$6:$O$266,MATCH($M71,'[1]Link Out Forecast'!$C$6:$C$266,0),1),"")</f>
        <v>-68489</v>
      </c>
      <c r="AI71" s="126"/>
      <c r="AJ71" s="347">
        <f>IFERROR(INDEX('[1]Link Out Forecast'!$P$6:$P$266,MATCH($M71,'[1]Link Out Forecast'!$C$6:$C$266,0),1),"")</f>
        <v>-77846</v>
      </c>
      <c r="AK71" s="126"/>
      <c r="AL71" s="347">
        <f>IFERROR(INDEX('[1]Link Out Forecast'!$Q$6:$Q$266,MATCH($M71,'[1]Link Out Forecast'!$C$6:$C$266,0),1),"")</f>
        <v>-80081</v>
      </c>
      <c r="AM71" s="126"/>
      <c r="AN71" s="347">
        <f>IFERROR(INDEX('[1]Link Out Forecast'!$R$6:$R$266,MATCH($M71,'[1]Link Out Forecast'!$C$6:$C$266,0),1),"")</f>
        <v>-889460</v>
      </c>
      <c r="AO71" s="348">
        <f t="shared" si="1"/>
        <v>0</v>
      </c>
    </row>
    <row r="72" spans="1:41" hidden="1">
      <c r="A72" s="303" t="str">
        <f>IFERROR(INDEX('[1]Link Out Monthly BY'!$A$7:$A$517,MATCH($C72,'[1]Link Out Monthly BY'!$C$7:$C$517,0),1),"")</f>
        <v>P11</v>
      </c>
      <c r="B72" s="303" t="str">
        <f>IFERROR(INDEX('[1]Link Out Monthly BY'!$B$7:$B$517,MATCH($C72,'[1]Link Out Monthly BY'!$C$7:$C$517,0),1),"")</f>
        <v>Other revenues</v>
      </c>
      <c r="C72" s="344">
        <v>40310500</v>
      </c>
      <c r="E72" s="303" t="str">
        <f>IFERROR(INDEX('[1]Link Out Monthly BY'!$D$7:$D$517,MATCH($C72,'[1]Link Out Monthly BY'!$C$7:$C$517,0),1),"")</f>
        <v>OthRev-Appl/InitFee</v>
      </c>
      <c r="G72" s="303" t="str">
        <f>IFERROR(INDEX('[1]Link Out Monthly BY'!$E$7:$E$517,MATCH($C72,'[1]Link Out Monthly BY'!$C$7:$C$517,0),1),"")</f>
        <v>471.</v>
      </c>
      <c r="I72" s="335">
        <f>IFERROR(INDEX('[1]Link Out Monthly BY'!$R$7:$R$517,MATCH($C72,'[1]Link Out Monthly BY'!$C$7:$C$517,0),1),"")</f>
        <v>-776520</v>
      </c>
      <c r="K72" s="303" t="str">
        <f>IFERROR(INDEX('[1]Link Out Forecast'!$A$6:$A$266,MATCH($M72,'[1]Link Out Forecast'!$C$6:$C$266,0),1),"")</f>
        <v>P11</v>
      </c>
      <c r="L72" s="303" t="str">
        <f>IFERROR(INDEX('[1]Link Out Forecast'!$B$6:$B$266,MATCH($M72,'[1]Link Out Forecast'!$C$6:$C$266,0),1),"")</f>
        <v>Other revenues</v>
      </c>
      <c r="M72" s="344">
        <v>40310200</v>
      </c>
      <c r="N72" s="303" t="str">
        <f>IFERROR(INDEX('[1]Link Out Forecast'!$D$6:$D$266,MATCH($M72,'[1]Link Out Forecast'!$C$6:$C$266,0),1),"")</f>
        <v>OthRev-Rent</v>
      </c>
      <c r="O72" s="303" t="str">
        <f>IFERROR(INDEX('[1]Link Out Forecast'!$E$6:$E$266,MATCH($M72,'[1]Link Out Forecast'!$C$6:$C$266,0),1),"")</f>
        <v>472.</v>
      </c>
      <c r="P72" s="347">
        <f>IFERROR(INDEX('[1]Link Out Forecast'!$F$6:$F$266,MATCH($M72,'[1]Link Out Forecast'!$C$6:$C$266,0),1),"")</f>
        <v>-7643</v>
      </c>
      <c r="Q72" s="126"/>
      <c r="R72" s="347">
        <f>IFERROR(INDEX('[1]Link Out Forecast'!$G$6:$G$266,MATCH($M72,'[1]Link Out Forecast'!$C$6:$C$266,0),1),"")</f>
        <v>-8017</v>
      </c>
      <c r="S72" s="126"/>
      <c r="T72" s="347">
        <f>IFERROR(INDEX('[1]Link Out Forecast'!$H$6:$H$266,MATCH($M72,'[1]Link Out Forecast'!$C$6:$C$266,0),1),"")</f>
        <v>-7948</v>
      </c>
      <c r="U72" s="126"/>
      <c r="V72" s="347">
        <f>IFERROR(INDEX('[1]Link Out Forecast'!$I$6:$I$266,MATCH($M72,'[1]Link Out Forecast'!$C$6:$C$266,0),1),"")</f>
        <v>-7948</v>
      </c>
      <c r="W72" s="126"/>
      <c r="X72" s="347">
        <f>IFERROR(INDEX('[1]Link Out Forecast'!$J$6:$J$266,MATCH($M72,'[1]Link Out Forecast'!$C$6:$C$266,0),1),"")</f>
        <v>-7948</v>
      </c>
      <c r="Y72" s="126"/>
      <c r="Z72" s="347">
        <f>IFERROR(INDEX('[1]Link Out Forecast'!$K$6:$K$266,MATCH($M72,'[1]Link Out Forecast'!$C$6:$C$266,0),1),"")</f>
        <v>-7948</v>
      </c>
      <c r="AA72" s="126"/>
      <c r="AB72" s="347">
        <f>IFERROR(INDEX('[1]Link Out Forecast'!$L$6:$L$266,MATCH($M72,'[1]Link Out Forecast'!$C$6:$C$266,0),1),"")</f>
        <v>-7096</v>
      </c>
      <c r="AC72" s="126"/>
      <c r="AD72" s="347">
        <f>IFERROR(INDEX('[1]Link Out Forecast'!$M$6:$M$266,MATCH($M72,'[1]Link Out Forecast'!$C$6:$C$266,0),1),"")</f>
        <v>-7065</v>
      </c>
      <c r="AE72" s="126"/>
      <c r="AF72" s="347">
        <f>IFERROR(INDEX('[1]Link Out Forecast'!$N$6:$N$266,MATCH($M72,'[1]Link Out Forecast'!$C$6:$C$266,0),1),"")</f>
        <v>-7210</v>
      </c>
      <c r="AG72" s="126"/>
      <c r="AH72" s="347">
        <f>IFERROR(INDEX('[1]Link Out Forecast'!$O$6:$O$266,MATCH($M72,'[1]Link Out Forecast'!$C$6:$C$266,0),1),"")</f>
        <v>-7109</v>
      </c>
      <c r="AI72" s="126"/>
      <c r="AJ72" s="347">
        <f>IFERROR(INDEX('[1]Link Out Forecast'!$P$6:$P$266,MATCH($M72,'[1]Link Out Forecast'!$C$6:$C$266,0),1),"")</f>
        <v>-8080</v>
      </c>
      <c r="AK72" s="126"/>
      <c r="AL72" s="347">
        <f>IFERROR(INDEX('[1]Link Out Forecast'!$Q$6:$Q$266,MATCH($M72,'[1]Link Out Forecast'!$C$6:$C$266,0),1),"")</f>
        <v>-8312</v>
      </c>
      <c r="AM72" s="126"/>
      <c r="AN72" s="347">
        <f>IFERROR(INDEX('[1]Link Out Forecast'!$R$6:$R$266,MATCH($M72,'[1]Link Out Forecast'!$C$6:$C$266,0),1),"")</f>
        <v>-92324</v>
      </c>
      <c r="AO72" s="348">
        <f t="shared" si="1"/>
        <v>0</v>
      </c>
    </row>
    <row r="73" spans="1:41" hidden="1">
      <c r="A73" s="303" t="str">
        <f>IFERROR(INDEX('[1]Link Out Monthly BY'!$A$7:$A$517,MATCH($C73,'[1]Link Out Monthly BY'!$C$7:$C$517,0),1),"")</f>
        <v>P11</v>
      </c>
      <c r="B73" s="303" t="str">
        <f>IFERROR(INDEX('[1]Link Out Monthly BY'!$B$7:$B$517,MATCH($C73,'[1]Link Out Monthly BY'!$C$7:$C$517,0),1),"")</f>
        <v>Other revenues</v>
      </c>
      <c r="C73" s="344">
        <v>40310600</v>
      </c>
      <c r="E73" s="303" t="str">
        <f>IFERROR(INDEX('[1]Link Out Monthly BY'!$D$7:$D$517,MATCH($C73,'[1]Link Out Monthly BY'!$C$7:$C$517,0),1),"")</f>
        <v>OthRev-Usage Data</v>
      </c>
      <c r="G73" s="303" t="str">
        <f>IFERROR(INDEX('[1]Link Out Monthly BY'!$E$7:$E$517,MATCH($C73,'[1]Link Out Monthly BY'!$C$7:$C$517,0),1),"")</f>
        <v>471.</v>
      </c>
      <c r="I73" s="335">
        <f>IFERROR(INDEX('[1]Link Out Monthly BY'!$R$7:$R$517,MATCH($C73,'[1]Link Out Monthly BY'!$C$7:$C$517,0),1),"")</f>
        <v>-51797</v>
      </c>
      <c r="K73" s="303" t="str">
        <f>IFERROR(INDEX('[1]Link Out Forecast'!$A$6:$A$266,MATCH($M73,'[1]Link Out Forecast'!$C$6:$C$266,0),1),"")</f>
        <v>P11</v>
      </c>
      <c r="L73" s="303" t="str">
        <f>IFERROR(INDEX('[1]Link Out Forecast'!$B$6:$B$266,MATCH($M73,'[1]Link Out Forecast'!$C$6:$C$266,0),1),"")</f>
        <v>Other revenues</v>
      </c>
      <c r="M73" s="344">
        <v>40310250</v>
      </c>
      <c r="N73" s="303" t="str">
        <f>IFERROR(INDEX('[1]Link Out Forecast'!$D$6:$D$266,MATCH($M73,'[1]Link Out Forecast'!$C$6:$C$266,0),1),"")</f>
        <v>OthRev-Rent I/C</v>
      </c>
      <c r="O73" s="303" t="str">
        <f>IFERROR(INDEX('[1]Link Out Forecast'!$E$6:$E$266,MATCH($M73,'[1]Link Out Forecast'!$C$6:$C$266,0),1),"")</f>
        <v>473.</v>
      </c>
      <c r="P73" s="347">
        <f>IFERROR(INDEX('[1]Link Out Forecast'!$F$6:$F$266,MATCH($M73,'[1]Link Out Forecast'!$C$6:$C$266,0),1),"")</f>
        <v>-12911</v>
      </c>
      <c r="Q73" s="126"/>
      <c r="R73" s="347">
        <f>IFERROR(INDEX('[1]Link Out Forecast'!$G$6:$G$266,MATCH($M73,'[1]Link Out Forecast'!$C$6:$C$266,0),1),"")</f>
        <v>-12911</v>
      </c>
      <c r="S73" s="126"/>
      <c r="T73" s="347">
        <f>IFERROR(INDEX('[1]Link Out Forecast'!$H$6:$H$266,MATCH($M73,'[1]Link Out Forecast'!$C$6:$C$266,0),1),"")</f>
        <v>-12911</v>
      </c>
      <c r="U73" s="126"/>
      <c r="V73" s="347">
        <f>IFERROR(INDEX('[1]Link Out Forecast'!$I$6:$I$266,MATCH($M73,'[1]Link Out Forecast'!$C$6:$C$266,0),1),"")</f>
        <v>-12911</v>
      </c>
      <c r="W73" s="126"/>
      <c r="X73" s="347">
        <f>IFERROR(INDEX('[1]Link Out Forecast'!$J$6:$J$266,MATCH($M73,'[1]Link Out Forecast'!$C$6:$C$266,0),1),"")</f>
        <v>-12911</v>
      </c>
      <c r="Y73" s="126"/>
      <c r="Z73" s="347">
        <f>IFERROR(INDEX('[1]Link Out Forecast'!$K$6:$K$266,MATCH($M73,'[1]Link Out Forecast'!$C$6:$C$266,0),1),"")</f>
        <v>-12911</v>
      </c>
      <c r="AA73" s="126"/>
      <c r="AB73" s="347">
        <f>IFERROR(INDEX('[1]Link Out Forecast'!$L$6:$L$266,MATCH($M73,'[1]Link Out Forecast'!$C$6:$C$266,0),1),"")</f>
        <v>-11584</v>
      </c>
      <c r="AC73" s="126"/>
      <c r="AD73" s="347">
        <f>IFERROR(INDEX('[1]Link Out Forecast'!$M$6:$M$266,MATCH($M73,'[1]Link Out Forecast'!$C$6:$C$266,0),1),"")</f>
        <v>-11534</v>
      </c>
      <c r="AE73" s="126"/>
      <c r="AF73" s="347">
        <f>IFERROR(INDEX('[1]Link Out Forecast'!$N$6:$N$266,MATCH($M73,'[1]Link Out Forecast'!$C$6:$C$266,0),1),"")</f>
        <v>-11771</v>
      </c>
      <c r="AG73" s="126"/>
      <c r="AH73" s="347">
        <f>IFERROR(INDEX('[1]Link Out Forecast'!$O$6:$O$266,MATCH($M73,'[1]Link Out Forecast'!$C$6:$C$266,0),1),"")</f>
        <v>-11606</v>
      </c>
      <c r="AI73" s="126"/>
      <c r="AJ73" s="347">
        <f>IFERROR(INDEX('[1]Link Out Forecast'!$P$6:$P$266,MATCH($M73,'[1]Link Out Forecast'!$C$6:$C$266,0),1),"")</f>
        <v>-13191</v>
      </c>
      <c r="AK73" s="126"/>
      <c r="AL73" s="347">
        <f>IFERROR(INDEX('[1]Link Out Forecast'!$Q$6:$Q$266,MATCH($M73,'[1]Link Out Forecast'!$C$6:$C$266,0),1),"")</f>
        <v>-13570</v>
      </c>
      <c r="AM73" s="126"/>
      <c r="AN73" s="347">
        <f>IFERROR(INDEX('[1]Link Out Forecast'!$R$6:$R$266,MATCH($M73,'[1]Link Out Forecast'!$C$6:$C$266,0),1),"")</f>
        <v>-150722</v>
      </c>
      <c r="AO73" s="348">
        <f t="shared" si="1"/>
        <v>0</v>
      </c>
    </row>
    <row r="74" spans="1:41" hidden="1">
      <c r="A74" s="303" t="str">
        <f>IFERROR(INDEX('[1]Link Out Monthly BY'!$A$7:$A$517,MATCH($C74,'[1]Link Out Monthly BY'!$C$7:$C$517,0),1),"")</f>
        <v>P11</v>
      </c>
      <c r="B74" s="303" t="str">
        <f>IFERROR(INDEX('[1]Link Out Monthly BY'!$B$7:$B$517,MATCH($C74,'[1]Link Out Monthly BY'!$C$7:$C$517,0),1),"")</f>
        <v>Other revenues</v>
      </c>
      <c r="C74" s="344">
        <v>40310700</v>
      </c>
      <c r="E74" s="303" t="str">
        <f>IFERROR(INDEX('[1]Link Out Monthly BY'!$D$7:$D$517,MATCH($C74,'[1]Link Out Monthly BY'!$C$7:$C$517,0),1),"")</f>
        <v>OthRev-Reconnct Fee</v>
      </c>
      <c r="G74" s="303" t="str">
        <f>IFERROR(INDEX('[1]Link Out Monthly BY'!$E$7:$E$517,MATCH($C74,'[1]Link Out Monthly BY'!$C$7:$C$517,0),1),"")</f>
        <v>471.</v>
      </c>
      <c r="I74" s="335">
        <f>IFERROR(INDEX('[1]Link Out Monthly BY'!$R$7:$R$517,MATCH($C74,'[1]Link Out Monthly BY'!$C$7:$C$517,0),1),"")</f>
        <v>-573394</v>
      </c>
      <c r="K74" s="303" t="str">
        <f>IFERROR(INDEX('[1]Link Out Forecast'!$A$6:$A$266,MATCH($M74,'[1]Link Out Forecast'!$C$6:$C$266,0),1),"")</f>
        <v>P11</v>
      </c>
      <c r="L74" s="303" t="str">
        <f>IFERROR(INDEX('[1]Link Out Forecast'!$B$6:$B$266,MATCH($M74,'[1]Link Out Forecast'!$C$6:$C$266,0),1),"")</f>
        <v>Other revenues</v>
      </c>
      <c r="M74" s="344">
        <v>40310300</v>
      </c>
      <c r="N74" s="303" t="str">
        <f>IFERROR(INDEX('[1]Link Out Forecast'!$D$6:$D$266,MATCH($M74,'[1]Link Out Forecast'!$C$6:$C$266,0),1),"")</f>
        <v>OthRev-CFO</v>
      </c>
      <c r="O74" s="303" t="str">
        <f>IFERROR(INDEX('[1]Link Out Forecast'!$E$6:$E$266,MATCH($M74,'[1]Link Out Forecast'!$C$6:$C$266,0),1),"")</f>
        <v>471.</v>
      </c>
      <c r="P74" s="347">
        <f>IFERROR(INDEX('[1]Link Out Forecast'!$F$6:$F$266,MATCH($M74,'[1]Link Out Forecast'!$C$6:$C$266,0),1),"")</f>
        <v>0</v>
      </c>
      <c r="Q74" s="126"/>
      <c r="R74" s="347">
        <f>IFERROR(INDEX('[1]Link Out Forecast'!$G$6:$G$266,MATCH($M74,'[1]Link Out Forecast'!$C$6:$C$266,0),1),"")</f>
        <v>0</v>
      </c>
      <c r="S74" s="126"/>
      <c r="T74" s="347">
        <f>IFERROR(INDEX('[1]Link Out Forecast'!$H$6:$H$266,MATCH($M74,'[1]Link Out Forecast'!$C$6:$C$266,0),1),"")</f>
        <v>0</v>
      </c>
      <c r="U74" s="126"/>
      <c r="V74" s="347">
        <f>IFERROR(INDEX('[1]Link Out Forecast'!$I$6:$I$266,MATCH($M74,'[1]Link Out Forecast'!$C$6:$C$266,0),1),"")</f>
        <v>0</v>
      </c>
      <c r="W74" s="126"/>
      <c r="X74" s="347">
        <f>IFERROR(INDEX('[1]Link Out Forecast'!$J$6:$J$266,MATCH($M74,'[1]Link Out Forecast'!$C$6:$C$266,0),1),"")</f>
        <v>0</v>
      </c>
      <c r="Y74" s="126"/>
      <c r="Z74" s="347">
        <f>IFERROR(INDEX('[1]Link Out Forecast'!$K$6:$K$266,MATCH($M74,'[1]Link Out Forecast'!$C$6:$C$266,0),1),"")</f>
        <v>0</v>
      </c>
      <c r="AA74" s="126"/>
      <c r="AB74" s="347">
        <f>IFERROR(INDEX('[1]Link Out Forecast'!$L$6:$L$266,MATCH($M74,'[1]Link Out Forecast'!$C$6:$C$266,0),1),"")</f>
        <v>0</v>
      </c>
      <c r="AC74" s="126"/>
      <c r="AD74" s="347">
        <f>IFERROR(INDEX('[1]Link Out Forecast'!$M$6:$M$266,MATCH($M74,'[1]Link Out Forecast'!$C$6:$C$266,0),1),"")</f>
        <v>0</v>
      </c>
      <c r="AE74" s="126"/>
      <c r="AF74" s="347">
        <f>IFERROR(INDEX('[1]Link Out Forecast'!$N$6:$N$266,MATCH($M74,'[1]Link Out Forecast'!$C$6:$C$266,0),1),"")</f>
        <v>0</v>
      </c>
      <c r="AG74" s="126"/>
      <c r="AH74" s="347">
        <f>IFERROR(INDEX('[1]Link Out Forecast'!$O$6:$O$266,MATCH($M74,'[1]Link Out Forecast'!$C$6:$C$266,0),1),"")</f>
        <v>0</v>
      </c>
      <c r="AI74" s="126"/>
      <c r="AJ74" s="347">
        <f>IFERROR(INDEX('[1]Link Out Forecast'!$P$6:$P$266,MATCH($M74,'[1]Link Out Forecast'!$C$6:$C$266,0),1),"")</f>
        <v>0</v>
      </c>
      <c r="AK74" s="126"/>
      <c r="AL74" s="347">
        <f>IFERROR(INDEX('[1]Link Out Forecast'!$Q$6:$Q$266,MATCH($M74,'[1]Link Out Forecast'!$C$6:$C$266,0),1),"")</f>
        <v>0</v>
      </c>
      <c r="AM74" s="126"/>
      <c r="AN74" s="347">
        <f>IFERROR(INDEX('[1]Link Out Forecast'!$R$6:$R$266,MATCH($M74,'[1]Link Out Forecast'!$C$6:$C$266,0),1),"")</f>
        <v>0</v>
      </c>
      <c r="AO74" s="348">
        <f t="shared" si="1"/>
        <v>0</v>
      </c>
    </row>
    <row r="75" spans="1:41" hidden="1">
      <c r="A75" s="303" t="str">
        <f>IFERROR(INDEX('[1]Link Out Monthly BY'!$A$7:$A$517,MATCH($C75,'[1]Link Out Monthly BY'!$C$7:$C$517,0),1),"")</f>
        <v>P11</v>
      </c>
      <c r="B75" s="303" t="str">
        <f>IFERROR(INDEX('[1]Link Out Monthly BY'!$B$7:$B$517,MATCH($C75,'[1]Link Out Monthly BY'!$C$7:$C$517,0),1),"")</f>
        <v>Other revenues</v>
      </c>
      <c r="C75" s="344">
        <v>40310800</v>
      </c>
      <c r="E75" s="303" t="str">
        <f>IFERROR(INDEX('[1]Link Out Monthly BY'!$D$7:$D$517,MATCH($C75,'[1]Link Out Monthly BY'!$C$7:$C$517,0),1),"")</f>
        <v>OthRev-Frozen Mtr</v>
      </c>
      <c r="G75" s="303" t="str">
        <f>IFERROR(INDEX('[1]Link Out Monthly BY'!$E$7:$E$517,MATCH($C75,'[1]Link Out Monthly BY'!$C$7:$C$517,0),1),"")</f>
        <v>471.</v>
      </c>
      <c r="I75" s="335">
        <f>IFERROR(INDEX('[1]Link Out Monthly BY'!$R$7:$R$517,MATCH($C75,'[1]Link Out Monthly BY'!$C$7:$C$517,0),1),"")</f>
        <v>0</v>
      </c>
      <c r="K75" s="303" t="str">
        <f>IFERROR(INDEX('[1]Link Out Forecast'!$A$6:$A$266,MATCH($M75,'[1]Link Out Forecast'!$C$6:$C$266,0),1),"")</f>
        <v>P11</v>
      </c>
      <c r="L75" s="303" t="str">
        <f>IFERROR(INDEX('[1]Link Out Forecast'!$B$6:$B$266,MATCH($M75,'[1]Link Out Forecast'!$C$6:$C$266,0),1),"")</f>
        <v>Other revenues</v>
      </c>
      <c r="M75" s="344">
        <v>40310400</v>
      </c>
      <c r="N75" s="303" t="str">
        <f>IFERROR(INDEX('[1]Link Out Forecast'!$D$6:$D$266,MATCH($M75,'[1]Link Out Forecast'!$C$6:$C$266,0),1),"")</f>
        <v>OthRev-NSF Ck Chrg</v>
      </c>
      <c r="O75" s="303" t="str">
        <f>IFERROR(INDEX('[1]Link Out Forecast'!$E$6:$E$266,MATCH($M75,'[1]Link Out Forecast'!$C$6:$C$266,0),1),"")</f>
        <v>471.</v>
      </c>
      <c r="P75" s="347">
        <f>IFERROR(INDEX('[1]Link Out Forecast'!$F$6:$F$266,MATCH($M75,'[1]Link Out Forecast'!$C$6:$C$266,0),1),"")</f>
        <v>-1644</v>
      </c>
      <c r="Q75" s="126"/>
      <c r="R75" s="347">
        <f>IFERROR(INDEX('[1]Link Out Forecast'!$G$6:$G$266,MATCH($M75,'[1]Link Out Forecast'!$C$6:$C$266,0),1),"")</f>
        <v>-3348</v>
      </c>
      <c r="S75" s="126"/>
      <c r="T75" s="347">
        <f>IFERROR(INDEX('[1]Link Out Forecast'!$H$6:$H$266,MATCH($M75,'[1]Link Out Forecast'!$C$6:$C$266,0),1),"")</f>
        <v>-2688</v>
      </c>
      <c r="U75" s="126"/>
      <c r="V75" s="347">
        <f>IFERROR(INDEX('[1]Link Out Forecast'!$I$6:$I$266,MATCH($M75,'[1]Link Out Forecast'!$C$6:$C$266,0),1),"")</f>
        <v>-2280</v>
      </c>
      <c r="W75" s="126"/>
      <c r="X75" s="347">
        <f>IFERROR(INDEX('[1]Link Out Forecast'!$J$6:$J$266,MATCH($M75,'[1]Link Out Forecast'!$C$6:$C$266,0),1),"")</f>
        <v>-2172</v>
      </c>
      <c r="Y75" s="126"/>
      <c r="Z75" s="347">
        <f>IFERROR(INDEX('[1]Link Out Forecast'!$K$6:$K$266,MATCH($M75,'[1]Link Out Forecast'!$C$6:$C$266,0),1),"")</f>
        <v>-2424</v>
      </c>
      <c r="AA75" s="126"/>
      <c r="AB75" s="347">
        <f>IFERROR(INDEX('[1]Link Out Forecast'!$L$6:$L$266,MATCH($M75,'[1]Link Out Forecast'!$C$6:$C$266,0),1),"")</f>
        <v>-2177</v>
      </c>
      <c r="AC75" s="126"/>
      <c r="AD75" s="347">
        <f>IFERROR(INDEX('[1]Link Out Forecast'!$M$6:$M$266,MATCH($M75,'[1]Link Out Forecast'!$C$6:$C$266,0),1),"")</f>
        <v>-2167</v>
      </c>
      <c r="AE75" s="126"/>
      <c r="AF75" s="347">
        <f>IFERROR(INDEX('[1]Link Out Forecast'!$N$6:$N$266,MATCH($M75,'[1]Link Out Forecast'!$C$6:$C$266,0),1),"")</f>
        <v>-2212</v>
      </c>
      <c r="AG75" s="126"/>
      <c r="AH75" s="347">
        <f>IFERROR(INDEX('[1]Link Out Forecast'!$O$6:$O$266,MATCH($M75,'[1]Link Out Forecast'!$C$6:$C$266,0),1),"")</f>
        <v>-2181</v>
      </c>
      <c r="AI75" s="126"/>
      <c r="AJ75" s="347">
        <f>IFERROR(INDEX('[1]Link Out Forecast'!$P$6:$P$266,MATCH($M75,'[1]Link Out Forecast'!$C$6:$C$266,0),1),"")</f>
        <v>-2479</v>
      </c>
      <c r="AK75" s="126"/>
      <c r="AL75" s="347">
        <f>IFERROR(INDEX('[1]Link Out Forecast'!$Q$6:$Q$266,MATCH($M75,'[1]Link Out Forecast'!$C$6:$C$266,0),1),"")</f>
        <v>-2550</v>
      </c>
      <c r="AM75" s="126"/>
      <c r="AN75" s="347">
        <f>IFERROR(INDEX('[1]Link Out Forecast'!$R$6:$R$266,MATCH($M75,'[1]Link Out Forecast'!$C$6:$C$266,0),1),"")</f>
        <v>-28322</v>
      </c>
      <c r="AO75" s="348">
        <f t="shared" si="1"/>
        <v>0</v>
      </c>
    </row>
    <row r="76" spans="1:41" hidden="1">
      <c r="A76" s="303" t="str">
        <f>IFERROR(INDEX('[1]Link Out Monthly BY'!$A$7:$A$517,MATCH($C76,'[1]Link Out Monthly BY'!$C$7:$C$517,0),1),"")</f>
        <v>P11</v>
      </c>
      <c r="B76" s="303" t="str">
        <f>IFERROR(INDEX('[1]Link Out Monthly BY'!$B$7:$B$517,MATCH($C76,'[1]Link Out Monthly BY'!$C$7:$C$517,0),1),"")</f>
        <v>Other revenues</v>
      </c>
      <c r="C76" s="344">
        <v>40319900</v>
      </c>
      <c r="E76" s="303" t="str">
        <f>IFERROR(INDEX('[1]Link Out Monthly BY'!$D$7:$D$517,MATCH($C76,'[1]Link Out Monthly BY'!$C$7:$C$517,0),1),"")</f>
        <v>OthRev-Misc Svc</v>
      </c>
      <c r="G76" s="303" t="str">
        <f>IFERROR(INDEX('[1]Link Out Monthly BY'!$E$7:$E$517,MATCH($C76,'[1]Link Out Monthly BY'!$C$7:$C$517,0),1),"")</f>
        <v>471.</v>
      </c>
      <c r="I76" s="335">
        <f>IFERROR(INDEX('[1]Link Out Monthly BY'!$R$7:$R$517,MATCH($C76,'[1]Link Out Monthly BY'!$C$7:$C$517,0),1),"")</f>
        <v>-165</v>
      </c>
      <c r="K76" s="303" t="str">
        <f>IFERROR(INDEX('[1]Link Out Forecast'!$A$6:$A$266,MATCH($M76,'[1]Link Out Forecast'!$C$6:$C$266,0),1),"")</f>
        <v>P11</v>
      </c>
      <c r="L76" s="303" t="str">
        <f>IFERROR(INDEX('[1]Link Out Forecast'!$B$6:$B$266,MATCH($M76,'[1]Link Out Forecast'!$C$6:$C$266,0),1),"")</f>
        <v>Other revenues</v>
      </c>
      <c r="M76" s="344">
        <v>40310500</v>
      </c>
      <c r="N76" s="303" t="str">
        <f>IFERROR(INDEX('[1]Link Out Forecast'!$D$6:$D$266,MATCH($M76,'[1]Link Out Forecast'!$C$6:$C$266,0),1),"")</f>
        <v>OthRev-Appl/InitFee</v>
      </c>
      <c r="O76" s="303" t="str">
        <f>IFERROR(INDEX('[1]Link Out Forecast'!$E$6:$E$266,MATCH($M76,'[1]Link Out Forecast'!$C$6:$C$266,0),1),"")</f>
        <v>471.</v>
      </c>
      <c r="P76" s="347">
        <f>IFERROR(INDEX('[1]Link Out Forecast'!$F$6:$F$266,MATCH($M76,'[1]Link Out Forecast'!$C$6:$C$266,0),1),"")</f>
        <v>-82822</v>
      </c>
      <c r="Q76" s="126"/>
      <c r="R76" s="347">
        <f>IFERROR(INDEX('[1]Link Out Forecast'!$G$6:$G$266,MATCH($M76,'[1]Link Out Forecast'!$C$6:$C$266,0),1),"")</f>
        <v>-111048</v>
      </c>
      <c r="S76" s="126"/>
      <c r="T76" s="347">
        <f>IFERROR(INDEX('[1]Link Out Forecast'!$H$6:$H$266,MATCH($M76,'[1]Link Out Forecast'!$C$6:$C$266,0),1),"")</f>
        <v>-68796</v>
      </c>
      <c r="U76" s="126"/>
      <c r="V76" s="347">
        <f>IFERROR(INDEX('[1]Link Out Forecast'!$I$6:$I$266,MATCH($M76,'[1]Link Out Forecast'!$C$6:$C$266,0),1),"")</f>
        <v>-61742</v>
      </c>
      <c r="W76" s="126"/>
      <c r="X76" s="347">
        <f>IFERROR(INDEX('[1]Link Out Forecast'!$J$6:$J$266,MATCH($M76,'[1]Link Out Forecast'!$C$6:$C$266,0),1),"")</f>
        <v>-49973</v>
      </c>
      <c r="Y76" s="126"/>
      <c r="Z76" s="347">
        <f>IFERROR(INDEX('[1]Link Out Forecast'!$K$6:$K$266,MATCH($M76,'[1]Link Out Forecast'!$C$6:$C$266,0),1),"")</f>
        <v>-49346</v>
      </c>
      <c r="AA76" s="126"/>
      <c r="AB76" s="347">
        <f>IFERROR(INDEX('[1]Link Out Forecast'!$L$6:$L$266,MATCH($M76,'[1]Link Out Forecast'!$C$6:$C$266,0),1),"")</f>
        <v>-63363</v>
      </c>
      <c r="AC76" s="126"/>
      <c r="AD76" s="347">
        <f>IFERROR(INDEX('[1]Link Out Forecast'!$M$6:$M$266,MATCH($M76,'[1]Link Out Forecast'!$C$6:$C$266,0),1),"")</f>
        <v>-63087</v>
      </c>
      <c r="AE76" s="126"/>
      <c r="AF76" s="347">
        <f>IFERROR(INDEX('[1]Link Out Forecast'!$N$6:$N$266,MATCH($M76,'[1]Link Out Forecast'!$C$6:$C$266,0),1),"")</f>
        <v>-64383</v>
      </c>
      <c r="AG76" s="126"/>
      <c r="AH76" s="347">
        <f>IFERROR(INDEX('[1]Link Out Forecast'!$O$6:$O$266,MATCH($M76,'[1]Link Out Forecast'!$C$6:$C$266,0),1),"")</f>
        <v>-63482</v>
      </c>
      <c r="AI76" s="126"/>
      <c r="AJ76" s="347">
        <f>IFERROR(INDEX('[1]Link Out Forecast'!$P$6:$P$266,MATCH($M76,'[1]Link Out Forecast'!$C$6:$C$266,0),1),"")</f>
        <v>-72153</v>
      </c>
      <c r="AK76" s="126"/>
      <c r="AL76" s="347">
        <f>IFERROR(INDEX('[1]Link Out Forecast'!$Q$6:$Q$266,MATCH($M76,'[1]Link Out Forecast'!$C$6:$C$266,0),1),"")</f>
        <v>-74226</v>
      </c>
      <c r="AM76" s="126"/>
      <c r="AN76" s="347">
        <f>IFERROR(INDEX('[1]Link Out Forecast'!$R$6:$R$266,MATCH($M76,'[1]Link Out Forecast'!$C$6:$C$266,0),1),"")</f>
        <v>-824421</v>
      </c>
      <c r="AO76" s="348">
        <f t="shared" si="1"/>
        <v>0</v>
      </c>
    </row>
    <row r="77" spans="1:41" hidden="1">
      <c r="B77" s="122"/>
      <c r="C77" s="173"/>
      <c r="I77" s="126"/>
      <c r="K77" s="303" t="str">
        <f>IFERROR(INDEX('[1]Link Out Forecast'!$A$6:$A$266,MATCH($M77,'[1]Link Out Forecast'!$C$6:$C$266,0),1),"")</f>
        <v>P11</v>
      </c>
      <c r="L77" s="303" t="str">
        <f>IFERROR(INDEX('[1]Link Out Forecast'!$B$6:$B$266,MATCH($M77,'[1]Link Out Forecast'!$C$6:$C$266,0),1),"")</f>
        <v>Other revenues</v>
      </c>
      <c r="M77" s="344">
        <v>40310600</v>
      </c>
      <c r="N77" s="303" t="str">
        <f>IFERROR(INDEX('[1]Link Out Forecast'!$D$6:$D$266,MATCH($M77,'[1]Link Out Forecast'!$C$6:$C$266,0),1),"")</f>
        <v>OthRev-Usage Data</v>
      </c>
      <c r="O77" s="303" t="str">
        <f>IFERROR(INDEX('[1]Link Out Forecast'!$E$6:$E$266,MATCH($M77,'[1]Link Out Forecast'!$C$6:$C$266,0),1),"")</f>
        <v>471.</v>
      </c>
      <c r="P77" s="347">
        <f>IFERROR(INDEX('[1]Link Out Forecast'!$F$6:$F$266,MATCH($M77,'[1]Link Out Forecast'!$C$6:$C$266,0),1),"")</f>
        <v>-4285</v>
      </c>
      <c r="Q77" s="126"/>
      <c r="R77" s="347">
        <f>IFERROR(INDEX('[1]Link Out Forecast'!$G$6:$G$266,MATCH($M77,'[1]Link Out Forecast'!$C$6:$C$266,0),1),"")</f>
        <v>-4158</v>
      </c>
      <c r="S77" s="126"/>
      <c r="T77" s="347">
        <f>IFERROR(INDEX('[1]Link Out Forecast'!$H$6:$H$266,MATCH($M77,'[1]Link Out Forecast'!$C$6:$C$266,0),1),"")</f>
        <v>-4424</v>
      </c>
      <c r="U77" s="126"/>
      <c r="V77" s="347">
        <f>IFERROR(INDEX('[1]Link Out Forecast'!$I$6:$I$266,MATCH($M77,'[1]Link Out Forecast'!$C$6:$C$266,0),1),"")</f>
        <v>-4168</v>
      </c>
      <c r="W77" s="126"/>
      <c r="X77" s="347">
        <f>IFERROR(INDEX('[1]Link Out Forecast'!$J$6:$J$266,MATCH($M77,'[1]Link Out Forecast'!$C$6:$C$266,0),1),"")</f>
        <v>-2302</v>
      </c>
      <c r="Y77" s="126"/>
      <c r="Z77" s="347">
        <f>IFERROR(INDEX('[1]Link Out Forecast'!$K$6:$K$266,MATCH($M77,'[1]Link Out Forecast'!$C$6:$C$266,0),1),"")</f>
        <v>-4003</v>
      </c>
      <c r="AA77" s="126"/>
      <c r="AB77" s="347">
        <f>IFERROR(INDEX('[1]Link Out Forecast'!$L$6:$L$266,MATCH($M77,'[1]Link Out Forecast'!$C$6:$C$266,0),1),"")</f>
        <v>-3490</v>
      </c>
      <c r="AC77" s="126"/>
      <c r="AD77" s="347">
        <f>IFERROR(INDEX('[1]Link Out Forecast'!$M$6:$M$266,MATCH($M77,'[1]Link Out Forecast'!$C$6:$C$266,0),1),"")</f>
        <v>-3475</v>
      </c>
      <c r="AE77" s="126"/>
      <c r="AF77" s="347">
        <f>IFERROR(INDEX('[1]Link Out Forecast'!$N$6:$N$266,MATCH($M77,'[1]Link Out Forecast'!$C$6:$C$266,0),1),"")</f>
        <v>-3546</v>
      </c>
      <c r="AG77" s="126"/>
      <c r="AH77" s="347">
        <f>IFERROR(INDEX('[1]Link Out Forecast'!$O$6:$O$266,MATCH($M77,'[1]Link Out Forecast'!$C$6:$C$266,0),1),"")</f>
        <v>-3497</v>
      </c>
      <c r="AI77" s="126"/>
      <c r="AJ77" s="347">
        <f>IFERROR(INDEX('[1]Link Out Forecast'!$P$6:$P$266,MATCH($M77,'[1]Link Out Forecast'!$C$6:$C$266,0),1),"")</f>
        <v>-3974</v>
      </c>
      <c r="AK77" s="126"/>
      <c r="AL77" s="347">
        <f>IFERROR(INDEX('[1]Link Out Forecast'!$Q$6:$Q$266,MATCH($M77,'[1]Link Out Forecast'!$C$6:$C$266,0),1),"")</f>
        <v>-4089</v>
      </c>
      <c r="AM77" s="126"/>
      <c r="AN77" s="347">
        <f>IFERROR(INDEX('[1]Link Out Forecast'!$R$6:$R$266,MATCH($M77,'[1]Link Out Forecast'!$C$6:$C$266,0),1),"")</f>
        <v>-45411</v>
      </c>
      <c r="AO77" s="348">
        <f t="shared" si="1"/>
        <v>0</v>
      </c>
    </row>
    <row r="78" spans="1:41" hidden="1">
      <c r="B78" s="122"/>
      <c r="C78" s="173"/>
      <c r="I78" s="126"/>
      <c r="K78" s="303" t="str">
        <f>IFERROR(INDEX('[1]Link Out Forecast'!$A$6:$A$266,MATCH($M78,'[1]Link Out Forecast'!$C$6:$C$266,0),1),"")</f>
        <v>P11</v>
      </c>
      <c r="L78" s="303" t="str">
        <f>IFERROR(INDEX('[1]Link Out Forecast'!$B$6:$B$266,MATCH($M78,'[1]Link Out Forecast'!$C$6:$C$266,0),1),"")</f>
        <v>Other revenues</v>
      </c>
      <c r="M78" s="344">
        <v>40310700</v>
      </c>
      <c r="N78" s="303" t="str">
        <f>IFERROR(INDEX('[1]Link Out Forecast'!$D$6:$D$266,MATCH($M78,'[1]Link Out Forecast'!$C$6:$C$266,0),1),"")</f>
        <v>OthRev-Reconnct Fee</v>
      </c>
      <c r="O78" s="303" t="str">
        <f>IFERROR(INDEX('[1]Link Out Forecast'!$E$6:$E$266,MATCH($M78,'[1]Link Out Forecast'!$C$6:$C$266,0),1),"")</f>
        <v>471.</v>
      </c>
      <c r="P78" s="347">
        <f>IFERROR(INDEX('[1]Link Out Forecast'!$F$6:$F$266,MATCH($M78,'[1]Link Out Forecast'!$C$6:$C$266,0),1),"")</f>
        <v>-44122</v>
      </c>
      <c r="Q78" s="126"/>
      <c r="R78" s="347">
        <f>IFERROR(INDEX('[1]Link Out Forecast'!$G$6:$G$266,MATCH($M78,'[1]Link Out Forecast'!$C$6:$C$266,0),1),"")</f>
        <v>-56285</v>
      </c>
      <c r="S78" s="126"/>
      <c r="T78" s="347">
        <f>IFERROR(INDEX('[1]Link Out Forecast'!$H$6:$H$266,MATCH($M78,'[1]Link Out Forecast'!$C$6:$C$266,0),1),"")</f>
        <v>-53984</v>
      </c>
      <c r="U78" s="126"/>
      <c r="V78" s="347">
        <f>IFERROR(INDEX('[1]Link Out Forecast'!$I$6:$I$266,MATCH($M78,'[1]Link Out Forecast'!$C$6:$C$266,0),1),"")</f>
        <v>-56337</v>
      </c>
      <c r="W78" s="126"/>
      <c r="X78" s="347">
        <f>IFERROR(INDEX('[1]Link Out Forecast'!$J$6:$J$266,MATCH($M78,'[1]Link Out Forecast'!$C$6:$C$266,0),1),"")</f>
        <v>-53638</v>
      </c>
      <c r="Y78" s="126"/>
      <c r="Z78" s="347">
        <f>IFERROR(INDEX('[1]Link Out Forecast'!$K$6:$K$266,MATCH($M78,'[1]Link Out Forecast'!$C$6:$C$266,0),1),"")</f>
        <v>-40817</v>
      </c>
      <c r="AA78" s="126"/>
      <c r="AB78" s="347">
        <f>IFERROR(INDEX('[1]Link Out Forecast'!$L$6:$L$266,MATCH($M78,'[1]Link Out Forecast'!$C$6:$C$266,0),1),"")</f>
        <v>-45636</v>
      </c>
      <c r="AC78" s="126"/>
      <c r="AD78" s="347">
        <f>IFERROR(INDEX('[1]Link Out Forecast'!$M$6:$M$266,MATCH($M78,'[1]Link Out Forecast'!$C$6:$C$266,0),1),"")</f>
        <v>-45437</v>
      </c>
      <c r="AE78" s="126"/>
      <c r="AF78" s="347">
        <f>IFERROR(INDEX('[1]Link Out Forecast'!$N$6:$N$266,MATCH($M78,'[1]Link Out Forecast'!$C$6:$C$266,0),1),"")</f>
        <v>-46371</v>
      </c>
      <c r="AG78" s="126"/>
      <c r="AH78" s="347">
        <f>IFERROR(INDEX('[1]Link Out Forecast'!$O$6:$O$266,MATCH($M78,'[1]Link Out Forecast'!$C$6:$C$266,0),1),"")</f>
        <v>-45722</v>
      </c>
      <c r="AI78" s="126"/>
      <c r="AJ78" s="347">
        <f>IFERROR(INDEX('[1]Link Out Forecast'!$P$6:$P$266,MATCH($M78,'[1]Link Out Forecast'!$C$6:$C$266,0),1),"")</f>
        <v>-51967</v>
      </c>
      <c r="AK78" s="126"/>
      <c r="AL78" s="347">
        <f>IFERROR(INDEX('[1]Link Out Forecast'!$Q$6:$Q$266,MATCH($M78,'[1]Link Out Forecast'!$C$6:$C$266,0),1),"")</f>
        <v>-53460</v>
      </c>
      <c r="AM78" s="126"/>
      <c r="AN78" s="347">
        <f>IFERROR(INDEX('[1]Link Out Forecast'!$R$6:$R$266,MATCH($M78,'[1]Link Out Forecast'!$C$6:$C$266,0),1),"")</f>
        <v>-593776</v>
      </c>
      <c r="AO78" s="348">
        <f t="shared" si="1"/>
        <v>0</v>
      </c>
    </row>
    <row r="79" spans="1:41" hidden="1">
      <c r="A79" s="303" t="str">
        <f>IFERROR(INDEX('[1]Link Out Monthly BY'!$A$7:$A$517,MATCH($C79,'[1]Link Out Monthly BY'!$C$7:$C$517,0),1),"")</f>
        <v>P43</v>
      </c>
      <c r="B79" s="303" t="str">
        <f>IFERROR(INDEX('[1]Link Out Monthly BY'!$B$7:$B$517,MATCH($C79,'[1]Link Out Monthly BY'!$C$7:$C$517,0),1),"")</f>
        <v>Current federal income taxes - operating</v>
      </c>
      <c r="C79" s="344">
        <v>69011000</v>
      </c>
      <c r="E79" s="303" t="str">
        <f>IFERROR(INDEX('[1]Link Out Monthly BY'!$D$7:$D$517,MATCH($C79,'[1]Link Out Monthly BY'!$C$7:$C$517,0),1),"")</f>
        <v>FIT-Current</v>
      </c>
      <c r="F79" s="303"/>
      <c r="G79" s="303" t="str">
        <f>IFERROR(INDEX('[1]Link Out Monthly BY'!$E$7:$E$517,MATCH($C79,'[1]Link Out Monthly BY'!$C$7:$C$517,0),1),"")</f>
        <v>409.10</v>
      </c>
      <c r="I79" s="334">
        <f>IFERROR(INDEX('[1]Link Out Monthly BY'!$R$7:$R$517,MATCH($C79,'[1]Link Out Monthly BY'!$C$7:$C$517,0),1),"")</f>
        <v>4831489.9500022596</v>
      </c>
      <c r="J79" s="357"/>
      <c r="K79" s="303" t="str">
        <f>IFERROR(INDEX('[1]Link Out Forecast'!$A$6:$A$266,MATCH($M79,'[1]Link Out Forecast'!$C$6:$C$266,0),1),"")</f>
        <v>P11</v>
      </c>
      <c r="L79" s="303" t="str">
        <f>IFERROR(INDEX('[1]Link Out Forecast'!$B$6:$B$266,MATCH($M79,'[1]Link Out Forecast'!$C$6:$C$266,0),1),"")</f>
        <v>Other revenues</v>
      </c>
      <c r="M79" s="344">
        <v>40319900</v>
      </c>
      <c r="N79" s="303" t="str">
        <f>IFERROR(INDEX('[1]Link Out Forecast'!$D$6:$D$266,MATCH($M79,'[1]Link Out Forecast'!$C$6:$C$266,0),1),"")</f>
        <v>OthRev-Misc Svc</v>
      </c>
      <c r="O79" s="303" t="str">
        <f>IFERROR(INDEX('[1]Link Out Forecast'!$E$6:$E$266,MATCH($M79,'[1]Link Out Forecast'!$C$6:$C$266,0),1),"")</f>
        <v>471.</v>
      </c>
      <c r="P79" s="347">
        <f>IFERROR(INDEX('[1]Link Out Forecast'!$F$6:$F$266,MATCH($M79,'[1]Link Out Forecast'!$C$6:$C$266,0),1),"")</f>
        <v>0</v>
      </c>
      <c r="Q79" s="126"/>
      <c r="R79" s="347">
        <f>IFERROR(INDEX('[1]Link Out Forecast'!$G$6:$G$266,MATCH($M79,'[1]Link Out Forecast'!$C$6:$C$266,0),1),"")</f>
        <v>0</v>
      </c>
      <c r="S79" s="126"/>
      <c r="T79" s="347">
        <f>IFERROR(INDEX('[1]Link Out Forecast'!$H$6:$H$266,MATCH($M79,'[1]Link Out Forecast'!$C$6:$C$266,0),1),"")</f>
        <v>0</v>
      </c>
      <c r="U79" s="126"/>
      <c r="V79" s="347">
        <f>IFERROR(INDEX('[1]Link Out Forecast'!$I$6:$I$266,MATCH($M79,'[1]Link Out Forecast'!$C$6:$C$266,0),1),"")</f>
        <v>0</v>
      </c>
      <c r="W79" s="126"/>
      <c r="X79" s="347">
        <f>IFERROR(INDEX('[1]Link Out Forecast'!$J$6:$J$266,MATCH($M79,'[1]Link Out Forecast'!$C$6:$C$266,0),1),"")</f>
        <v>0</v>
      </c>
      <c r="Y79" s="126"/>
      <c r="Z79" s="347">
        <f>IFERROR(INDEX('[1]Link Out Forecast'!$K$6:$K$266,MATCH($M79,'[1]Link Out Forecast'!$C$6:$C$266,0),1),"")</f>
        <v>0</v>
      </c>
      <c r="AA79" s="126"/>
      <c r="AB79" s="347">
        <f>IFERROR(INDEX('[1]Link Out Forecast'!$L$6:$L$266,MATCH($M79,'[1]Link Out Forecast'!$C$6:$C$266,0),1),"")</f>
        <v>0</v>
      </c>
      <c r="AC79" s="126"/>
      <c r="AD79" s="347">
        <f>IFERROR(INDEX('[1]Link Out Forecast'!$M$6:$M$266,MATCH($M79,'[1]Link Out Forecast'!$C$6:$C$266,0),1),"")</f>
        <v>0</v>
      </c>
      <c r="AE79" s="126"/>
      <c r="AF79" s="347">
        <f>IFERROR(INDEX('[1]Link Out Forecast'!$N$6:$N$266,MATCH($M79,'[1]Link Out Forecast'!$C$6:$C$266,0),1),"")</f>
        <v>0</v>
      </c>
      <c r="AG79" s="126"/>
      <c r="AH79" s="347">
        <f>IFERROR(INDEX('[1]Link Out Forecast'!$O$6:$O$266,MATCH($M79,'[1]Link Out Forecast'!$C$6:$C$266,0),1),"")</f>
        <v>0</v>
      </c>
      <c r="AI79" s="126"/>
      <c r="AJ79" s="347">
        <f>IFERROR(INDEX('[1]Link Out Forecast'!$P$6:$P$266,MATCH($M79,'[1]Link Out Forecast'!$C$6:$C$266,0),1),"")</f>
        <v>0</v>
      </c>
      <c r="AK79" s="126"/>
      <c r="AL79" s="347">
        <f>IFERROR(INDEX('[1]Link Out Forecast'!$Q$6:$Q$266,MATCH($M79,'[1]Link Out Forecast'!$C$6:$C$266,0),1),"")</f>
        <v>0</v>
      </c>
      <c r="AM79" s="126"/>
      <c r="AN79" s="347">
        <f>IFERROR(INDEX('[1]Link Out Forecast'!$R$6:$R$266,MATCH($M79,'[1]Link Out Forecast'!$C$6:$C$266,0),1),"")</f>
        <v>0</v>
      </c>
      <c r="AO79" s="348">
        <f t="shared" si="1"/>
        <v>0</v>
      </c>
    </row>
    <row r="80" spans="1:41" hidden="1">
      <c r="A80" s="303" t="str">
        <f>IFERROR(INDEX('[1]Link Out Monthly BY'!$A$7:$A$517,MATCH($C80,'[1]Link Out Monthly BY'!$C$7:$C$517,0),1),"")</f>
        <v>P43</v>
      </c>
      <c r="B80" s="303" t="str">
        <f>IFERROR(INDEX('[1]Link Out Monthly BY'!$B$7:$B$517,MATCH($C80,'[1]Link Out Monthly BY'!$C$7:$C$517,0),1),"")</f>
        <v>Current federal income taxes - operating</v>
      </c>
      <c r="C80" s="344">
        <v>69012000</v>
      </c>
      <c r="E80" s="303" t="str">
        <f>IFERROR(INDEX('[1]Link Out Monthly BY'!$D$7:$D$517,MATCH($C80,'[1]Link Out Monthly BY'!$C$7:$C$517,0),1),"")</f>
        <v>FIT-Prior Year Adj</v>
      </c>
      <c r="F80" s="303"/>
      <c r="G80" s="303" t="str">
        <f>IFERROR(INDEX('[1]Link Out Monthly BY'!$E$7:$E$517,MATCH($C80,'[1]Link Out Monthly BY'!$C$7:$C$517,0),1),"")</f>
        <v>409.10</v>
      </c>
      <c r="I80" s="335">
        <f>IFERROR(INDEX('[1]Link Out Monthly BY'!$R$7:$R$517,MATCH($C80,'[1]Link Out Monthly BY'!$C$7:$C$517,0),1),"")</f>
        <v>0</v>
      </c>
      <c r="M80" s="173"/>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idden="1">
      <c r="A81" s="303" t="str">
        <f>IFERROR(INDEX('[1]Link Out Monthly BY'!$A$7:$A$517,MATCH($C81,'[1]Link Out Monthly BY'!$C$7:$C$517,0),1),"")</f>
        <v>P44</v>
      </c>
      <c r="B81" s="303" t="str">
        <f>IFERROR(INDEX('[1]Link Out Monthly BY'!$B$7:$B$517,MATCH($C81,'[1]Link Out Monthly BY'!$C$7:$C$517,0),1),"")</f>
        <v>Current state income taxes - operating</v>
      </c>
      <c r="C81" s="173">
        <v>69021000</v>
      </c>
      <c r="E81" s="303" t="str">
        <f>IFERROR(INDEX('[1]Link Out Monthly BY'!$D$7:$D$517,MATCH($C81,'[1]Link Out Monthly BY'!$C$7:$C$517,0),1),"")</f>
        <v>SIT-Current</v>
      </c>
      <c r="F81" s="303"/>
      <c r="G81" s="303" t="str">
        <f>IFERROR(INDEX('[1]Link Out Monthly BY'!$E$7:$E$517,MATCH($C81,'[1]Link Out Monthly BY'!$C$7:$C$517,0),1),"")</f>
        <v>409.11</v>
      </c>
      <c r="I81" s="335">
        <f>IFERROR(INDEX('[1]Link Out Monthly BY'!$R$7:$R$517,MATCH($C81,'[1]Link Out Monthly BY'!$C$7:$C$517,0),1),"")</f>
        <v>1042164.2999302045</v>
      </c>
      <c r="M81" s="173"/>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idden="1">
      <c r="A82" s="303" t="str">
        <f>IFERROR(INDEX('[1]Link Out Monthly BY'!$A$7:$A$517,MATCH($C82,'[1]Link Out Monthly BY'!$C$7:$C$517,0),1),"")</f>
        <v>P44</v>
      </c>
      <c r="B82" s="303" t="str">
        <f>IFERROR(INDEX('[1]Link Out Monthly BY'!$B$7:$B$517,MATCH($C82,'[1]Link Out Monthly BY'!$C$7:$C$517,0),1),"")</f>
        <v>Current state income taxes - operating</v>
      </c>
      <c r="C82" s="173">
        <v>69022000</v>
      </c>
      <c r="E82" s="303" t="str">
        <f>IFERROR(INDEX('[1]Link Out Monthly BY'!$D$7:$D$517,MATCH($C82,'[1]Link Out Monthly BY'!$C$7:$C$517,0),1),"")</f>
        <v>SIT-Prior Year Adj</v>
      </c>
      <c r="F82" s="303"/>
      <c r="G82" s="303" t="str">
        <f>IFERROR(INDEX('[1]Link Out Monthly BY'!$E$7:$E$517,MATCH($C82,'[1]Link Out Monthly BY'!$C$7:$C$517,0),1),"")</f>
        <v>409.11</v>
      </c>
      <c r="I82" s="335">
        <f>IFERROR(INDEX('[1]Link Out Monthly BY'!$R$7:$R$517,MATCH($C82,'[1]Link Out Monthly BY'!$C$7:$C$517,0),1),"")</f>
        <v>0</v>
      </c>
      <c r="M82" s="173"/>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idden="1">
      <c r="A83" s="303" t="str">
        <f>IFERROR(INDEX('[1]Link Out Monthly BY'!$A$7:$A$517,MATCH($C83,'[1]Link Out Monthly BY'!$C$7:$C$517,0),1),"")</f>
        <v>P45</v>
      </c>
      <c r="B83" s="303" t="str">
        <f>IFERROR(INDEX('[1]Link Out Monthly BY'!$B$7:$B$517,MATCH($C83,'[1]Link Out Monthly BY'!$C$7:$C$517,0),1),"")</f>
        <v>Deferred federal income tax expense</v>
      </c>
      <c r="C83" s="344">
        <v>69061000</v>
      </c>
      <c r="E83" s="303" t="str">
        <f>IFERROR(INDEX('[1]Link Out Monthly BY'!$D$7:$D$517,MATCH($C83,'[1]Link Out Monthly BY'!$C$7:$C$517,0),1),"")</f>
        <v>Def FIT-Current Year</v>
      </c>
      <c r="F83" s="303"/>
      <c r="G83" s="303" t="str">
        <f>IFERROR(INDEX('[1]Link Out Monthly BY'!$E$7:$E$517,MATCH($C83,'[1]Link Out Monthly BY'!$C$7:$C$517,0),1),"")</f>
        <v>410.10</v>
      </c>
      <c r="I83" s="335">
        <f>IFERROR(INDEX('[1]Link Out Monthly BY'!$R$7:$R$517,MATCH($C83,'[1]Link Out Monthly BY'!$C$7:$C$517,0),1),"")</f>
        <v>0</v>
      </c>
      <c r="M83" s="173"/>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idden="1">
      <c r="A84" s="303" t="str">
        <f>IFERROR(INDEX('[1]Link Out Monthly BY'!$A$7:$A$517,MATCH($C84,'[1]Link Out Monthly BY'!$C$7:$C$517,0),1),"")</f>
        <v>P45</v>
      </c>
      <c r="B84" s="303" t="str">
        <f>IFERROR(INDEX('[1]Link Out Monthly BY'!$B$7:$B$517,MATCH($C84,'[1]Link Out Monthly BY'!$C$7:$C$517,0),1),"")</f>
        <v>Deferred federal income tax expense</v>
      </c>
      <c r="C84" s="344">
        <v>69062000</v>
      </c>
      <c r="E84" s="303" t="str">
        <f>IFERROR(INDEX('[1]Link Out Monthly BY'!$D$7:$D$517,MATCH($C84,'[1]Link Out Monthly BY'!$C$7:$C$517,0),1),"")</f>
        <v>Def FIT-Pr Yr Adj</v>
      </c>
      <c r="F84" s="303"/>
      <c r="G84" s="303" t="str">
        <f>IFERROR(INDEX('[1]Link Out Monthly BY'!$E$7:$E$517,MATCH($C84,'[1]Link Out Monthly BY'!$C$7:$C$517,0),1),"")</f>
        <v>410.10</v>
      </c>
      <c r="I84" s="335">
        <f>IFERROR(INDEX('[1]Link Out Monthly BY'!$R$7:$R$517,MATCH($C84,'[1]Link Out Monthly BY'!$C$7:$C$517,0),1),"")</f>
        <v>0</v>
      </c>
      <c r="M84" s="173"/>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idden="1">
      <c r="A85" s="303" t="str">
        <f>IFERROR(INDEX('[1]Link Out Monthly BY'!$A$7:$A$517,MATCH($C85,'[1]Link Out Monthly BY'!$C$7:$C$517,0),1),"")</f>
        <v>P45</v>
      </c>
      <c r="B85" s="303" t="str">
        <f>IFERROR(INDEX('[1]Link Out Monthly BY'!$B$7:$B$517,MATCH($C85,'[1]Link Out Monthly BY'!$C$7:$C$517,0),1),"")</f>
        <v>Deferred federal income tax expense</v>
      </c>
      <c r="C85" s="344">
        <v>69063000</v>
      </c>
      <c r="D85" s="181"/>
      <c r="E85" s="303" t="str">
        <f>IFERROR(INDEX('[1]Link Out Monthly BY'!$D$7:$D$517,MATCH($C85,'[1]Link Out Monthly BY'!$C$7:$C$517,0),1),"")</f>
        <v>Def FIT-RegAsst/Liab</v>
      </c>
      <c r="F85" s="303"/>
      <c r="G85" s="303" t="str">
        <f>IFERROR(INDEX('[1]Link Out Monthly BY'!$E$7:$E$517,MATCH($C85,'[1]Link Out Monthly BY'!$C$7:$C$517,0),1),"")</f>
        <v>410.10</v>
      </c>
      <c r="H85" s="181"/>
      <c r="I85" s="335">
        <f>IFERROR(INDEX('[1]Link Out Monthly BY'!$R$7:$R$517,MATCH($C85,'[1]Link Out Monthly BY'!$C$7:$C$517,0),1),"")</f>
        <v>-65942.498360214944</v>
      </c>
      <c r="M85" s="173"/>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s="181" customFormat="1" hidden="1">
      <c r="A86" s="303" t="str">
        <f>IFERROR(INDEX('[1]Link Out Monthly BY'!$A$7:$A$517,MATCH($C86,'[1]Link Out Monthly BY'!$C$7:$C$517,0),1),"")</f>
        <v>P45</v>
      </c>
      <c r="B86" s="303" t="str">
        <f>IFERROR(INDEX('[1]Link Out Monthly BY'!$B$7:$B$517,MATCH($C86,'[1]Link Out Monthly BY'!$C$7:$C$517,0),1),"")</f>
        <v>Deferred federal income tax expense</v>
      </c>
      <c r="C86" s="344">
        <v>69063200</v>
      </c>
      <c r="E86" s="303" t="str">
        <f>IFERROR(INDEX('[1]Link Out Monthly BY'!$D$7:$D$517,MATCH($C86,'[1]Link Out Monthly BY'!$C$7:$C$517,0),1),"")</f>
        <v>Def FIT-Reg Liability</v>
      </c>
      <c r="F86" s="303"/>
      <c r="G86" s="303" t="str">
        <f>IFERROR(INDEX('[1]Link Out Monthly BY'!$E$7:$E$517,MATCH($C86,'[1]Link Out Monthly BY'!$C$7:$C$517,0),1),"")</f>
        <v>410.10</v>
      </c>
      <c r="I86" s="335">
        <f>IFERROR(INDEX('[1]Link Out Monthly BY'!$R$7:$R$517,MATCH($C86,'[1]Link Out Monthly BY'!$C$7:$C$517,0),1),"")</f>
        <v>0</v>
      </c>
      <c r="M86" s="173"/>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s="181" customFormat="1" hidden="1">
      <c r="A87" s="303" t="str">
        <f>IFERROR(INDEX('[1]Link Out Monthly BY'!$A$7:$A$517,MATCH($C87,'[1]Link Out Monthly BY'!$C$7:$C$517,0),1),"")</f>
        <v>P45</v>
      </c>
      <c r="B87" s="303" t="str">
        <f>IFERROR(INDEX('[1]Link Out Monthly BY'!$B$7:$B$517,MATCH($C87,'[1]Link Out Monthly BY'!$C$7:$C$517,0),1),"")</f>
        <v>Deferred federal income tax expense</v>
      </c>
      <c r="C87" s="344">
        <v>69065000</v>
      </c>
      <c r="E87" s="303" t="str">
        <f>IFERROR(INDEX('[1]Link Out Monthly BY'!$D$7:$D$517,MATCH($C87,'[1]Link Out Monthly BY'!$C$7:$C$517,0),1),"")</f>
        <v>Def FIT-Other</v>
      </c>
      <c r="F87" s="303"/>
      <c r="G87" s="303" t="str">
        <f>IFERROR(INDEX('[1]Link Out Monthly BY'!$E$7:$E$517,MATCH($C87,'[1]Link Out Monthly BY'!$C$7:$C$517,0),1),"")</f>
        <v>410.10</v>
      </c>
      <c r="I87" s="335">
        <f>IFERROR(INDEX('[1]Link Out Monthly BY'!$R$7:$R$517,MATCH($C87,'[1]Link Out Monthly BY'!$C$7:$C$517,0),1),"")</f>
        <v>-612910.32232675899</v>
      </c>
      <c r="M87" s="173"/>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s="181" customFormat="1" hidden="1">
      <c r="A88" s="303" t="str">
        <f>IFERROR(INDEX('[1]Link Out Monthly BY'!$A$7:$A$517,MATCH($C88,'[1]Link Out Monthly BY'!$C$7:$C$517,0),1),"")</f>
        <v>P46</v>
      </c>
      <c r="B88" s="303" t="str">
        <f>IFERROR(INDEX('[1]Link Out Monthly BY'!$B$7:$B$517,MATCH($C88,'[1]Link Out Monthly BY'!$C$7:$C$517,0),1),"")</f>
        <v>Deferred state income tax expense</v>
      </c>
      <c r="C88" s="344">
        <v>69071000</v>
      </c>
      <c r="E88" s="303" t="str">
        <f>IFERROR(INDEX('[1]Link Out Monthly BY'!$D$7:$D$517,MATCH($C88,'[1]Link Out Monthly BY'!$C$7:$C$517,0),1),"")</f>
        <v>Def SIT-Current Year</v>
      </c>
      <c r="F88" s="303"/>
      <c r="G88" s="303" t="str">
        <f>IFERROR(INDEX('[1]Link Out Monthly BY'!$E$7:$E$517,MATCH($C88,'[1]Link Out Monthly BY'!$C$7:$C$517,0),1),"")</f>
        <v>410.11</v>
      </c>
      <c r="I88" s="335">
        <f>IFERROR(INDEX('[1]Link Out Monthly BY'!$R$7:$R$517,MATCH($C88,'[1]Link Out Monthly BY'!$C$7:$C$517,0),1),"")</f>
        <v>0</v>
      </c>
      <c r="M88" s="173"/>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s="181" customFormat="1" hidden="1">
      <c r="A89" s="303" t="str">
        <f>IFERROR(INDEX('[1]Link Out Monthly BY'!$A$7:$A$517,MATCH($C89,'[1]Link Out Monthly BY'!$C$7:$C$517,0),1),"")</f>
        <v>P46</v>
      </c>
      <c r="B89" s="303" t="str">
        <f>IFERROR(INDEX('[1]Link Out Monthly BY'!$B$7:$B$517,MATCH($C89,'[1]Link Out Monthly BY'!$C$7:$C$517,0),1),"")</f>
        <v>Deferred state income tax expense</v>
      </c>
      <c r="C89" s="344">
        <v>69072000</v>
      </c>
      <c r="E89" s="303" t="str">
        <f>IFERROR(INDEX('[1]Link Out Monthly BY'!$D$7:$D$517,MATCH($C89,'[1]Link Out Monthly BY'!$C$7:$C$517,0),1),"")</f>
        <v>Def SIT-Pr Yr Adj</v>
      </c>
      <c r="F89" s="303"/>
      <c r="G89" s="303" t="str">
        <f>IFERROR(INDEX('[1]Link Out Monthly BY'!$E$7:$E$517,MATCH($C89,'[1]Link Out Monthly BY'!$C$7:$C$517,0),1),"")</f>
        <v>410.11</v>
      </c>
      <c r="I89" s="335">
        <f>IFERROR(INDEX('[1]Link Out Monthly BY'!$R$7:$R$517,MATCH($C89,'[1]Link Out Monthly BY'!$C$7:$C$517,0),1),"")</f>
        <v>0</v>
      </c>
      <c r="M89" s="173"/>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s="181" customFormat="1" hidden="1">
      <c r="A90" s="303" t="str">
        <f>IFERROR(INDEX('[1]Link Out Monthly BY'!$A$7:$A$517,MATCH($C90,'[1]Link Out Monthly BY'!$C$7:$C$517,0),1),"")</f>
        <v>P46</v>
      </c>
      <c r="B90" s="303" t="str">
        <f>IFERROR(INDEX('[1]Link Out Monthly BY'!$B$7:$B$517,MATCH($C90,'[1]Link Out Monthly BY'!$C$7:$C$517,0),1),"")</f>
        <v>Deferred state income tax expense</v>
      </c>
      <c r="C90" s="344">
        <v>69073000</v>
      </c>
      <c r="E90" s="303" t="str">
        <f>IFERROR(INDEX('[1]Link Out Monthly BY'!$D$7:$D$517,MATCH($C90,'[1]Link Out Monthly BY'!$C$7:$C$517,0),1),"")</f>
        <v>Def SIT-RegAsst/Liab</v>
      </c>
      <c r="F90" s="303"/>
      <c r="G90" s="303" t="str">
        <f>IFERROR(INDEX('[1]Link Out Monthly BY'!$E$7:$E$517,MATCH($C90,'[1]Link Out Monthly BY'!$C$7:$C$517,0),1),"")</f>
        <v>410.11</v>
      </c>
      <c r="I90" s="335">
        <f>IFERROR(INDEX('[1]Link Out Monthly BY'!$R$7:$R$517,MATCH($C90,'[1]Link Out Monthly BY'!$C$7:$C$517,0),1),"")</f>
        <v>-62970.999999999993</v>
      </c>
      <c r="M90" s="173"/>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s="181" customFormat="1" hidden="1">
      <c r="A91" s="303" t="str">
        <f>IFERROR(INDEX('[1]Link Out Monthly BY'!$A$7:$A$517,MATCH($C91,'[1]Link Out Monthly BY'!$C$7:$C$517,0),1),"")</f>
        <v>P46</v>
      </c>
      <c r="B91" s="303" t="str">
        <f>IFERROR(INDEX('[1]Link Out Monthly BY'!$B$7:$B$517,MATCH($C91,'[1]Link Out Monthly BY'!$C$7:$C$517,0),1),"")</f>
        <v>Deferred state income tax expense</v>
      </c>
      <c r="C91" s="344">
        <v>69073200</v>
      </c>
      <c r="E91" s="303" t="str">
        <f>IFERROR(INDEX('[1]Link Out Monthly BY'!$D$7:$D$517,MATCH($C91,'[1]Link Out Monthly BY'!$C$7:$C$517,0),1),"")</f>
        <v>Def SIT-Reg Liability</v>
      </c>
      <c r="F91" s="303"/>
      <c r="G91" s="303" t="str">
        <f>IFERROR(INDEX('[1]Link Out Monthly BY'!$E$7:$E$517,MATCH($C91,'[1]Link Out Monthly BY'!$C$7:$C$517,0),1),"")</f>
        <v>410.11</v>
      </c>
      <c r="I91" s="335">
        <f>IFERROR(INDEX('[1]Link Out Monthly BY'!$R$7:$R$517,MATCH($C91,'[1]Link Out Monthly BY'!$C$7:$C$517,0),1),"")</f>
        <v>0</v>
      </c>
      <c r="M91" s="173"/>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s="181" customFormat="1" hidden="1">
      <c r="A92" s="303" t="str">
        <f>IFERROR(INDEX('[1]Link Out Monthly BY'!$A$7:$A$517,MATCH($C92,'[1]Link Out Monthly BY'!$C$7:$C$517,0),1),"")</f>
        <v>P46</v>
      </c>
      <c r="B92" s="303" t="str">
        <f>IFERROR(INDEX('[1]Link Out Monthly BY'!$B$7:$B$517,MATCH($C92,'[1]Link Out Monthly BY'!$C$7:$C$517,0),1),"")</f>
        <v>Deferred state income tax expense</v>
      </c>
      <c r="C92" s="344">
        <v>69073500</v>
      </c>
      <c r="E92" s="303" t="str">
        <f>IFERROR(INDEX('[1]Link Out Monthly BY'!$D$7:$D$517,MATCH($C92,'[1]Link Out Monthly BY'!$C$7:$C$517,0),1),"")</f>
        <v>Def SIT-Other</v>
      </c>
      <c r="F92" s="303"/>
      <c r="G92" s="303" t="str">
        <f>IFERROR(INDEX('[1]Link Out Monthly BY'!$E$7:$E$517,MATCH($C92,'[1]Link Out Monthly BY'!$C$7:$C$517,0),1),"")</f>
        <v>410.11</v>
      </c>
      <c r="I92" s="335">
        <f>IFERROR(INDEX('[1]Link Out Monthly BY'!$R$7:$R$517,MATCH($C92,'[1]Link Out Monthly BY'!$C$7:$C$517,0),1),"")</f>
        <v>10837.716534646548</v>
      </c>
      <c r="M92" s="173"/>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idden="1">
      <c r="A93" s="181"/>
      <c r="B93" s="181"/>
      <c r="C93" s="173"/>
      <c r="D93" s="181"/>
      <c r="E93" s="181"/>
      <c r="F93" s="181"/>
      <c r="G93" s="181"/>
      <c r="H93" s="181"/>
      <c r="I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s="299" customFormat="1" ht="15" hidden="1" thickBot="1">
      <c r="B94" s="133"/>
      <c r="C94" s="349"/>
      <c r="E94" s="299" t="s">
        <v>24</v>
      </c>
      <c r="I94" s="345">
        <f>SUM(I67:I93)</f>
        <v>2621903.1457801373</v>
      </c>
      <c r="N94" s="299" t="s">
        <v>24</v>
      </c>
      <c r="P94" s="345">
        <f>SUM(P67:P93)</f>
        <v>-227343</v>
      </c>
      <c r="Q94" s="345"/>
      <c r="R94" s="345">
        <f>SUM(R67:R93)</f>
        <v>-280349</v>
      </c>
      <c r="S94" s="345"/>
      <c r="T94" s="345">
        <f>SUM(T67:T93)</f>
        <v>-227343</v>
      </c>
      <c r="U94" s="345"/>
      <c r="V94" s="345">
        <f>SUM(V67:V93)</f>
        <v>-223704</v>
      </c>
      <c r="W94" s="345"/>
      <c r="X94" s="345">
        <f>SUM(X67:X93)</f>
        <v>-200768</v>
      </c>
      <c r="Y94" s="345"/>
      <c r="Z94" s="345">
        <f>SUM(Z67:Z93)</f>
        <v>-189373</v>
      </c>
      <c r="AA94" s="345"/>
      <c r="AB94" s="345">
        <f>SUM(AB67:AB93)</f>
        <v>-201709</v>
      </c>
      <c r="AC94" s="345"/>
      <c r="AD94" s="345">
        <f>SUM(AD67:AD93)</f>
        <v>-200828</v>
      </c>
      <c r="AE94" s="345"/>
      <c r="AF94" s="345">
        <f>SUM(AF67:AF93)</f>
        <v>-204955</v>
      </c>
      <c r="AG94" s="345"/>
      <c r="AH94" s="345">
        <f>SUM(AH67:AH93)</f>
        <v>-202086</v>
      </c>
      <c r="AI94" s="345"/>
      <c r="AJ94" s="345">
        <f>SUM(AJ67:AJ93)</f>
        <v>-229690</v>
      </c>
      <c r="AK94" s="345"/>
      <c r="AL94" s="345">
        <f>SUM(AL67:AL93)</f>
        <v>-236288</v>
      </c>
      <c r="AM94" s="345"/>
      <c r="AN94" s="345">
        <f>SUM(AN67:AN93)</f>
        <v>-2624436</v>
      </c>
    </row>
    <row r="95" spans="1:40">
      <c r="B95" s="173"/>
      <c r="C95" s="183"/>
    </row>
    <row r="96" spans="1:40">
      <c r="B96" s="173"/>
    </row>
    <row r="97" spans="1:6">
      <c r="B97" s="196" t="s">
        <v>113</v>
      </c>
      <c r="C97" s="191"/>
      <c r="D97" s="192" t="s">
        <v>151</v>
      </c>
      <c r="E97" s="191"/>
      <c r="F97" s="191" t="s">
        <v>152</v>
      </c>
    </row>
    <row r="98" spans="1:6">
      <c r="A98" s="122" t="s">
        <v>305</v>
      </c>
      <c r="B98" s="400">
        <f>+'[2]Link Out'!$B$7</f>
        <v>91907987</v>
      </c>
      <c r="C98" s="400"/>
      <c r="D98" s="400">
        <f>+'[2]Link Out'!$D$7</f>
        <v>88516166</v>
      </c>
      <c r="E98" s="400"/>
      <c r="F98" s="400">
        <f>SUM('[2]Link Out'!$G$103:$G$105)</f>
        <v>108517826.71353972</v>
      </c>
    </row>
    <row r="99" spans="1:6">
      <c r="B99" s="173"/>
    </row>
    <row r="100" spans="1:6">
      <c r="B100" s="173"/>
    </row>
    <row r="101" spans="1:6">
      <c r="B101" s="175" t="s">
        <v>113</v>
      </c>
      <c r="C101" s="80"/>
      <c r="D101" s="80" t="s">
        <v>151</v>
      </c>
      <c r="F101" s="181" t="s">
        <v>152</v>
      </c>
    </row>
    <row r="102" spans="1:6">
      <c r="A102" s="203" t="s">
        <v>262</v>
      </c>
      <c r="B102" s="173"/>
    </row>
    <row r="103" spans="1:6">
      <c r="A103" s="122" t="s">
        <v>263</v>
      </c>
      <c r="B103" s="397">
        <f>+'[2]Link Out'!$B10</f>
        <v>34285634</v>
      </c>
      <c r="C103" s="117"/>
      <c r="D103" s="397">
        <f>+'[2]Link Out'!$D10</f>
        <v>37805850.987251282</v>
      </c>
      <c r="E103" s="397"/>
      <c r="F103" s="397">
        <f>+'[2]Link Out'!$G$134</f>
        <v>37988689.882293239</v>
      </c>
    </row>
    <row r="104" spans="1:6">
      <c r="A104" s="303" t="s">
        <v>264</v>
      </c>
      <c r="B104" s="397">
        <f>+'[2]Link Out'!$B11</f>
        <v>16275109</v>
      </c>
      <c r="C104" s="117"/>
      <c r="D104" s="397">
        <f>+'[2]Link Out'!$D11</f>
        <v>18383403.419117443</v>
      </c>
      <c r="E104" s="397"/>
      <c r="F104" s="397">
        <f>+'[2]Link Out'!$G$137</f>
        <v>18383403.419117443</v>
      </c>
    </row>
    <row r="105" spans="1:6">
      <c r="A105" s="303" t="s">
        <v>265</v>
      </c>
      <c r="B105" s="397">
        <f>+'[2]Link Out'!$B12</f>
        <v>8556</v>
      </c>
      <c r="C105" s="117"/>
      <c r="D105" s="397">
        <f>+'[2]Link Out'!$D12</f>
        <v>24566.75499999999</v>
      </c>
      <c r="E105" s="397"/>
      <c r="F105" s="397">
        <f>+'[2]Link Out'!$G$138</f>
        <v>24566.75499999999</v>
      </c>
    </row>
    <row r="106" spans="1:6">
      <c r="A106" s="303" t="s">
        <v>266</v>
      </c>
      <c r="B106" s="397">
        <f>+'[2]Link Out'!$B13</f>
        <v>267920</v>
      </c>
      <c r="C106" s="117"/>
      <c r="D106" s="397">
        <f>+'[2]Link Out'!$D13</f>
        <v>263437.74</v>
      </c>
      <c r="E106" s="397"/>
      <c r="F106" s="397">
        <f>+'[2]Link Out'!$G$139</f>
        <v>263437.74</v>
      </c>
    </row>
    <row r="107" spans="1:6">
      <c r="A107" s="303" t="s">
        <v>267</v>
      </c>
      <c r="B107" s="397"/>
      <c r="C107" s="280" t="s">
        <v>261</v>
      </c>
      <c r="D107" s="397"/>
      <c r="E107" s="397"/>
      <c r="F107" s="397">
        <v>0</v>
      </c>
    </row>
    <row r="108" spans="1:6">
      <c r="A108" s="303" t="s">
        <v>268</v>
      </c>
      <c r="B108" s="397">
        <f>+'[2]Link Out'!$B14</f>
        <v>990115.10333669779</v>
      </c>
      <c r="C108" s="117"/>
      <c r="D108" s="397">
        <f>+'[2]Link Out'!$D14</f>
        <v>499853.57424153085</v>
      </c>
      <c r="E108" s="397"/>
      <c r="F108" s="397">
        <f>SUM('[2]Link Out'!$G$142:$G$143)</f>
        <v>1488792.7960506999</v>
      </c>
    </row>
    <row r="109" spans="1:6">
      <c r="A109" s="303" t="s">
        <v>269</v>
      </c>
      <c r="B109" s="397">
        <f>+'[2]Link Out'!$B15</f>
        <v>4152972.6359339543</v>
      </c>
      <c r="C109" s="117"/>
      <c r="D109" s="397">
        <f>+'[2]Link Out'!$D15</f>
        <v>2203521.6676104907</v>
      </c>
      <c r="E109" s="397"/>
      <c r="F109" s="397">
        <f>SUM('[2]Link Out'!$G$145:$G$146)</f>
        <v>6149396.4865001887</v>
      </c>
    </row>
    <row r="110" spans="1:6">
      <c r="A110" s="303" t="s">
        <v>270</v>
      </c>
      <c r="B110" s="397">
        <f>+'[2]Link Out'!$B16</f>
        <v>-78492</v>
      </c>
      <c r="C110" s="117"/>
      <c r="D110" s="397">
        <f>+'[2]Link Out'!$D16</f>
        <v>-78492</v>
      </c>
      <c r="E110" s="397"/>
      <c r="F110" s="397">
        <f>+'[2]Link Out'!$G$147</f>
        <v>-78492</v>
      </c>
    </row>
    <row r="111" spans="1:6">
      <c r="A111" s="303" t="s">
        <v>271</v>
      </c>
      <c r="B111" s="399">
        <f>+'[2]Link Out'!$B17</f>
        <v>7362427</v>
      </c>
      <c r="C111" s="117"/>
      <c r="D111" s="399">
        <f>+'[2]Link Out'!$D17</f>
        <v>7822213</v>
      </c>
      <c r="E111" s="397"/>
      <c r="F111" s="399">
        <f>+'[2]Link Out'!$G$148</f>
        <v>7862215.7777135521</v>
      </c>
    </row>
    <row r="112" spans="1:6">
      <c r="A112" s="299" t="s">
        <v>272</v>
      </c>
      <c r="B112" s="398">
        <f>+'[2]Link Out'!$B$18</f>
        <v>63264241.739270657</v>
      </c>
      <c r="C112" s="346"/>
      <c r="D112" s="398">
        <f>+'[2]Link Out'!$D$18</f>
        <v>66924355.143220738</v>
      </c>
      <c r="E112" s="398"/>
      <c r="F112" s="398">
        <f>SUM(F103:F111)</f>
        <v>72082010.856675118</v>
      </c>
    </row>
    <row r="113" spans="1:12" s="249" customFormat="1" ht="15" thickBot="1">
      <c r="B113" s="266"/>
      <c r="C113" s="259"/>
      <c r="D113" s="266"/>
      <c r="F113" s="248"/>
    </row>
    <row r="114" spans="1:12" s="193" customFormat="1" ht="15" thickBot="1">
      <c r="B114" s="190"/>
      <c r="C114" s="394" t="s">
        <v>300</v>
      </c>
      <c r="D114" s="404" t="s">
        <v>243</v>
      </c>
      <c r="E114" s="404"/>
      <c r="F114" s="404"/>
      <c r="G114" s="405"/>
      <c r="I114" s="401" t="s">
        <v>244</v>
      </c>
      <c r="J114" s="402"/>
      <c r="K114" s="402"/>
      <c r="L114" s="403"/>
    </row>
    <row r="115" spans="1:12" s="193" customFormat="1">
      <c r="A115" s="203" t="s">
        <v>48</v>
      </c>
      <c r="B115" s="364" t="s">
        <v>113</v>
      </c>
      <c r="C115" s="294" t="s">
        <v>134</v>
      </c>
      <c r="D115" s="237"/>
      <c r="E115" s="229" t="s">
        <v>167</v>
      </c>
      <c r="F115" s="229" t="s">
        <v>168</v>
      </c>
      <c r="G115" s="267" t="s">
        <v>169</v>
      </c>
      <c r="I115" s="231"/>
      <c r="J115" s="262" t="s">
        <v>167</v>
      </c>
      <c r="K115" s="262" t="s">
        <v>168</v>
      </c>
      <c r="L115" s="254" t="s">
        <v>169</v>
      </c>
    </row>
    <row r="116" spans="1:12" s="193" customFormat="1">
      <c r="A116" s="201" t="s">
        <v>163</v>
      </c>
      <c r="B116" s="400">
        <f>'[3]Link Out'!$C$3</f>
        <v>422623063</v>
      </c>
      <c r="C116" s="395">
        <f>'[3]Sch B-5'!$R$540</f>
        <v>441111572.11700475</v>
      </c>
      <c r="D116" s="246" t="s">
        <v>170</v>
      </c>
      <c r="E116" s="171">
        <f>+[4]Linkout!$D$9</f>
        <v>6718876.940791185</v>
      </c>
      <c r="F116" s="250">
        <f>+[4]Linkout!$D$36</f>
        <v>3.2738847995791229E-2</v>
      </c>
      <c r="G116" s="268">
        <f>E116*F116</f>
        <v>219968.29086698938</v>
      </c>
      <c r="I116" s="246" t="s">
        <v>170</v>
      </c>
      <c r="J116" s="253">
        <f>+[4]Linkout!$C$9</f>
        <v>17047056.517370932</v>
      </c>
      <c r="K116" s="252">
        <f>+[4]Linkout!$C$36</f>
        <v>2.8686581219739198E-2</v>
      </c>
      <c r="L116" s="268">
        <f>SUM(J116*K116)</f>
        <v>489021.77134304569</v>
      </c>
    </row>
    <row r="117" spans="1:12" s="193" customFormat="1">
      <c r="A117" s="201" t="s">
        <v>164</v>
      </c>
      <c r="B117" s="393">
        <f>[4]Linkout!$C$12+[4]Linkout!$C$13</f>
        <v>2.9500000000000002E-2</v>
      </c>
      <c r="C117" s="393">
        <f>[4]Linkout!$D$12+[4]Linkout!$D$13</f>
        <v>2.9600000000000001E-2</v>
      </c>
      <c r="D117" s="246" t="s">
        <v>171</v>
      </c>
      <c r="E117" s="171">
        <f>+[4]Linkout!$D$8</f>
        <v>220061621.47666666</v>
      </c>
      <c r="F117" s="250">
        <f>+[4]Linkout!$D$16</f>
        <v>5.8999999999999997E-2</v>
      </c>
      <c r="G117" s="268">
        <f>E117*F117</f>
        <v>12983635.667123333</v>
      </c>
      <c r="I117" s="246" t="s">
        <v>171</v>
      </c>
      <c r="J117" s="253">
        <f>+[4]Linkout!$C$8</f>
        <v>204313965.86999997</v>
      </c>
      <c r="K117" s="252">
        <f>+[4]Linkout!$C$16</f>
        <v>5.9900000000000002E-2</v>
      </c>
      <c r="L117" s="268">
        <f>SUM(J117*K117)</f>
        <v>12238406.555612998</v>
      </c>
    </row>
    <row r="118" spans="1:12" s="193" customFormat="1">
      <c r="A118" s="201" t="s">
        <v>165</v>
      </c>
      <c r="B118" s="393">
        <f>[4]Linkout!$C$15</f>
        <v>4.0000000000000002E-4</v>
      </c>
      <c r="C118" s="393">
        <f>[4]Linkout!$D$15</f>
        <v>4.0000000000000002E-4</v>
      </c>
      <c r="D118" s="246" t="s">
        <v>172</v>
      </c>
      <c r="E118" s="171">
        <f>+[4]Linkout!$D$7</f>
        <v>2243433.2400000002</v>
      </c>
      <c r="F118" s="250">
        <f>+[4]Linkout!$D$17</f>
        <v>8.5099999999999995E-2</v>
      </c>
      <c r="G118" s="268">
        <f>E118*F118</f>
        <v>190916.16872400002</v>
      </c>
      <c r="I118" s="246" t="s">
        <v>172</v>
      </c>
      <c r="J118" s="253">
        <f>+[4]Linkout!$C$7</f>
        <v>2243111.34</v>
      </c>
      <c r="K118" s="252">
        <f>+[4]Linkout!$C$17</f>
        <v>8.5099999999999995E-2</v>
      </c>
      <c r="L118" s="268">
        <f>SUM(J118*K118)</f>
        <v>190888.77503399996</v>
      </c>
    </row>
    <row r="119" spans="1:12" s="193" customFormat="1" ht="15" thickBot="1">
      <c r="A119" s="201" t="s">
        <v>48</v>
      </c>
      <c r="B119" s="397">
        <f>ROUND(B116*(B118+B117),0)</f>
        <v>12636430</v>
      </c>
      <c r="C119" s="397">
        <f>ROUND(C116*(C118+C117),0)</f>
        <v>13233347</v>
      </c>
      <c r="D119" s="247"/>
      <c r="E119" s="248"/>
      <c r="F119" s="249" t="s">
        <v>195</v>
      </c>
      <c r="G119" s="255">
        <f>SUM(G116:G118)</f>
        <v>13394520.126714323</v>
      </c>
      <c r="I119" s="251"/>
      <c r="J119" s="244"/>
      <c r="K119" s="244"/>
      <c r="L119" s="255">
        <f>SUM(L116:L118)</f>
        <v>12918317.101990042</v>
      </c>
    </row>
    <row r="120" spans="1:12" s="193" customFormat="1">
      <c r="A120" s="201" t="s">
        <v>166</v>
      </c>
      <c r="B120" s="397">
        <f>ROUND(B116*B118,0)</f>
        <v>169049</v>
      </c>
      <c r="C120" s="397">
        <f>ROUND(C116*C118,0)</f>
        <v>176445</v>
      </c>
      <c r="D120" s="190"/>
      <c r="F120" s="194"/>
    </row>
    <row r="121" spans="1:12">
      <c r="B121" s="336"/>
      <c r="C121" s="363"/>
    </row>
    <row r="122" spans="1:12">
      <c r="A122" s="203" t="s">
        <v>173</v>
      </c>
      <c r="B122" s="364" t="s">
        <v>113</v>
      </c>
      <c r="C122" s="294" t="s">
        <v>134</v>
      </c>
      <c r="D122" s="80"/>
    </row>
    <row r="123" spans="1:12">
      <c r="A123" s="122" t="s">
        <v>302</v>
      </c>
      <c r="B123" s="280"/>
      <c r="C123" s="280"/>
      <c r="D123" s="122" t="s">
        <v>260</v>
      </c>
    </row>
    <row r="124" spans="1:12">
      <c r="A124" s="122" t="s">
        <v>303</v>
      </c>
      <c r="B124" s="397">
        <f>+'[2]Link Out'!$B$83</f>
        <v>35622</v>
      </c>
      <c r="C124" s="397">
        <f>+'[2]Link Out'!$C$83</f>
        <v>44775</v>
      </c>
    </row>
    <row r="125" spans="1:12" s="204" customFormat="1">
      <c r="B125" s="397"/>
      <c r="C125" s="397"/>
    </row>
    <row r="126" spans="1:12" s="204" customFormat="1">
      <c r="A126" s="203" t="s">
        <v>174</v>
      </c>
      <c r="B126" s="397"/>
      <c r="C126" s="397"/>
    </row>
    <row r="127" spans="1:12">
      <c r="A127" s="186" t="s">
        <v>153</v>
      </c>
      <c r="B127" s="397">
        <f>C194</f>
        <v>15800186.060154952</v>
      </c>
      <c r="C127" s="397">
        <f>-SUM('[5]Tax Basis State'!$I$50:$I$61)</f>
        <v>16549934.214430092</v>
      </c>
    </row>
    <row r="128" spans="1:12">
      <c r="A128" s="187" t="s">
        <v>154</v>
      </c>
      <c r="B128" s="397">
        <f>B194</f>
        <v>12675648.863488287</v>
      </c>
      <c r="C128" s="397">
        <f>-SUM('[5]Tax Basis Federal'!$I$50:$I$61)</f>
        <v>13835971.214430096</v>
      </c>
    </row>
    <row r="129" spans="1:4">
      <c r="A129" s="122" t="s">
        <v>175</v>
      </c>
      <c r="B129" s="397">
        <f>B188</f>
        <v>15774618.059483834</v>
      </c>
      <c r="C129" s="397">
        <f>D188</f>
        <v>17759786.526808504</v>
      </c>
    </row>
    <row r="130" spans="1:4">
      <c r="A130" s="187" t="s">
        <v>155</v>
      </c>
      <c r="B130" s="397"/>
      <c r="C130" s="397"/>
      <c r="D130" s="122" t="s">
        <v>161</v>
      </c>
    </row>
    <row r="131" spans="1:4" s="204" customFormat="1">
      <c r="A131" s="122" t="s">
        <v>162</v>
      </c>
      <c r="B131" s="397">
        <f>+'[2]Link Out'!$B$92</f>
        <v>57084</v>
      </c>
      <c r="C131" s="397">
        <f>+'[2]Link Out'!$C$92</f>
        <v>57085.98</v>
      </c>
    </row>
    <row r="132" spans="1:4" s="204" customFormat="1">
      <c r="A132" s="122" t="s">
        <v>265</v>
      </c>
      <c r="B132" s="397">
        <f>+'[2]Link Out'!$B$93</f>
        <v>0</v>
      </c>
      <c r="C132" s="397">
        <f>+'[2]Link Out'!$C$93</f>
        <v>24566.75499999999</v>
      </c>
      <c r="D132" s="204" t="str">
        <f>+'[2]Link Out'!$D$93</f>
        <v xml:space="preserve">Requesting $0 in case.  </v>
      </c>
    </row>
    <row r="133" spans="1:4" s="223" customFormat="1">
      <c r="A133" s="225" t="s">
        <v>194</v>
      </c>
      <c r="B133" s="397">
        <f>+'[2]Link Out'!$B$95</f>
        <v>839228</v>
      </c>
      <c r="C133" s="397">
        <f>+'[2]Link Out'!$C$95</f>
        <v>1091902</v>
      </c>
    </row>
    <row r="134" spans="1:4" s="204" customFormat="1">
      <c r="A134" s="226" t="s">
        <v>156</v>
      </c>
      <c r="B134" s="397">
        <f>+'[6]Link Out'!$B$25*0+'[6]Def Maint Bal'!$AM$28-'[6]Def Maint Bal'!$AM$16+B133</f>
        <v>2547540.2398888841</v>
      </c>
      <c r="C134" s="397">
        <f>+'[6]Link Out'!$B$23</f>
        <v>1500000</v>
      </c>
    </row>
    <row r="135" spans="1:4" s="204" customFormat="1">
      <c r="A135" s="205" t="s">
        <v>157</v>
      </c>
      <c r="B135" s="397"/>
      <c r="C135" s="397"/>
    </row>
    <row r="136" spans="1:4">
      <c r="A136" s="188" t="s">
        <v>158</v>
      </c>
      <c r="B136" s="397">
        <v>0</v>
      </c>
      <c r="C136" s="397">
        <f>SUM('[7]Link Out'!$L$48:$W$48)</f>
        <v>117598</v>
      </c>
    </row>
    <row r="137" spans="1:4" s="204" customFormat="1">
      <c r="A137" s="206" t="s">
        <v>159</v>
      </c>
      <c r="B137" s="397">
        <f>+'[2]Link Out'!$B$87+'[2]Link Out'!$B$90</f>
        <v>-2228479</v>
      </c>
      <c r="C137" s="397">
        <f>+'[2]Link Out'!$C$87+'[2]Link Out'!$C$90</f>
        <v>-2416731.1434357874</v>
      </c>
    </row>
    <row r="138" spans="1:4">
      <c r="A138" s="189" t="s">
        <v>299</v>
      </c>
      <c r="B138" s="397">
        <f>B206</f>
        <v>7550060.3718294473</v>
      </c>
      <c r="C138" s="397">
        <f>-'[7]Link Out'!$B$51-'[7]Link Out'!$B$52</f>
        <v>7984616.6338227838</v>
      </c>
      <c r="D138" s="123"/>
    </row>
    <row r="139" spans="1:4">
      <c r="A139" s="189" t="s">
        <v>160</v>
      </c>
      <c r="B139" s="397">
        <f>B199</f>
        <v>4902748.4633657346</v>
      </c>
      <c r="C139" s="397">
        <f>-SUM('[5]Fed Tax Dep'!$H$24:$H$35)</f>
        <v>4230368.7769989409</v>
      </c>
    </row>
    <row r="140" spans="1:4">
      <c r="A140" s="207" t="s">
        <v>89</v>
      </c>
      <c r="B140" s="397">
        <v>2841122</v>
      </c>
      <c r="C140" s="397">
        <f>+'[2]Link Out'!$C$89</f>
        <v>3056122.1474742508</v>
      </c>
    </row>
    <row r="141" spans="1:4">
      <c r="A141" s="208" t="s">
        <v>66</v>
      </c>
      <c r="B141" s="397">
        <f>B212</f>
        <v>1446898.2883333336</v>
      </c>
      <c r="C141" s="397">
        <f>+'[7]Link Out'!$B$50</f>
        <v>1351177</v>
      </c>
    </row>
    <row r="142" spans="1:4" s="209" customFormat="1">
      <c r="A142" s="208"/>
      <c r="B142" s="397"/>
      <c r="C142" s="397"/>
    </row>
    <row r="143" spans="1:4">
      <c r="A143" s="210" t="s">
        <v>176</v>
      </c>
      <c r="B143" s="397">
        <f>C218</f>
        <v>-308565.61623524502</v>
      </c>
      <c r="C143" s="397">
        <f>'[5]Link Out'!$C$23</f>
        <v>55101</v>
      </c>
    </row>
    <row r="144" spans="1:4">
      <c r="A144" s="210" t="s">
        <v>177</v>
      </c>
      <c r="B144" s="397">
        <f>B218</f>
        <v>-1469339.0570286273</v>
      </c>
      <c r="C144" s="397">
        <f>'[5]Link Out'!$C$24</f>
        <v>-350076</v>
      </c>
    </row>
    <row r="145" spans="1:3" s="211" customFormat="1">
      <c r="A145" s="210"/>
      <c r="B145" s="397"/>
      <c r="C145" s="397"/>
    </row>
    <row r="146" spans="1:3" s="211" customFormat="1">
      <c r="A146" s="212" t="s">
        <v>178</v>
      </c>
      <c r="B146" s="397">
        <f>I92</f>
        <v>10837.716534646548</v>
      </c>
      <c r="C146" s="397">
        <f>+'[5]Def Taxes Reg Asset Liab'!$C$30</f>
        <v>-62376</v>
      </c>
    </row>
    <row r="147" spans="1:3" s="211" customFormat="1">
      <c r="A147" s="212" t="s">
        <v>179</v>
      </c>
      <c r="B147" s="397">
        <f>I91</f>
        <v>0</v>
      </c>
      <c r="C147" s="397">
        <f>+'[5]Def Taxes Reg Asset Liab'!$E$30</f>
        <v>-54620.331693548273</v>
      </c>
    </row>
    <row r="148" spans="1:3" s="211" customFormat="1">
      <c r="A148" s="210"/>
      <c r="B148" s="397"/>
      <c r="C148" s="397"/>
    </row>
    <row r="149" spans="1:3">
      <c r="A149" s="182" t="s">
        <v>150</v>
      </c>
      <c r="B149" s="397">
        <f>-'[2]Link Out'!$C$147</f>
        <v>78492</v>
      </c>
      <c r="C149" s="397">
        <f>'[5]BookBasis '!$Q$32-'[5]BookBasis '!$Q$21</f>
        <v>71951</v>
      </c>
    </row>
    <row r="150" spans="1:3" s="211" customFormat="1">
      <c r="A150" s="210"/>
      <c r="B150" s="397"/>
      <c r="C150" s="397"/>
    </row>
    <row r="151" spans="1:3">
      <c r="A151" s="122" t="s">
        <v>273</v>
      </c>
      <c r="B151" s="397">
        <f>+'[2]Link Out'!$B$78</f>
        <v>6602753</v>
      </c>
      <c r="C151" s="397">
        <f>+'[2]Link Out'!$C$78</f>
        <v>7039679</v>
      </c>
    </row>
    <row r="152" spans="1:3">
      <c r="A152" s="122" t="s">
        <v>274</v>
      </c>
      <c r="B152" s="397">
        <f>+'[2]Link Out'!$B$79</f>
        <v>566558</v>
      </c>
      <c r="C152" s="397">
        <f>+'[2]Link Out'!$C$79</f>
        <v>596010</v>
      </c>
    </row>
    <row r="153" spans="1:3">
      <c r="A153" s="122" t="s">
        <v>275</v>
      </c>
      <c r="B153" s="397">
        <f>+'[2]Link Out'!$B$80</f>
        <v>186974</v>
      </c>
      <c r="C153" s="397">
        <f>+'[2]Link Out'!$C$80</f>
        <v>175930</v>
      </c>
    </row>
    <row r="154" spans="1:3">
      <c r="B154" s="397"/>
      <c r="C154" s="397"/>
    </row>
    <row r="155" spans="1:3" s="213" customFormat="1">
      <c r="B155" s="397"/>
      <c r="C155" s="397"/>
    </row>
    <row r="156" spans="1:3" s="213" customFormat="1">
      <c r="A156" s="215" t="s">
        <v>180</v>
      </c>
      <c r="B156" s="397"/>
      <c r="C156" s="397"/>
    </row>
    <row r="157" spans="1:3" s="213" customFormat="1">
      <c r="A157" s="216" t="s">
        <v>47</v>
      </c>
      <c r="B157" s="397">
        <f>+'[2]Link Out'!$C$142</f>
        <v>1059899.1223152166</v>
      </c>
      <c r="C157" s="397"/>
    </row>
    <row r="158" spans="1:3" s="213" customFormat="1">
      <c r="A158" s="216" t="s">
        <v>144</v>
      </c>
      <c r="B158" s="397">
        <f>+'[2]Link Out'!$C$143</f>
        <v>-69784.018978518812</v>
      </c>
      <c r="C158" s="397"/>
    </row>
    <row r="159" spans="1:3" s="213" customFormat="1">
      <c r="A159" s="217"/>
      <c r="B159" s="397"/>
      <c r="C159" s="397"/>
    </row>
    <row r="160" spans="1:3" s="213" customFormat="1">
      <c r="A160" s="215" t="s">
        <v>181</v>
      </c>
      <c r="B160" s="397"/>
      <c r="C160" s="397"/>
    </row>
    <row r="161" spans="1:8" s="213" customFormat="1">
      <c r="A161" s="216" t="s">
        <v>182</v>
      </c>
      <c r="B161" s="397">
        <f>+'[2]Link Out'!$C$145</f>
        <v>4902251.8913184591</v>
      </c>
      <c r="C161" s="397"/>
    </row>
    <row r="162" spans="1:8" s="213" customFormat="1">
      <c r="A162" s="216" t="s">
        <v>145</v>
      </c>
      <c r="B162" s="397">
        <f>+'[2]Link Out'!$C$146</f>
        <v>-749279.25538450456</v>
      </c>
      <c r="C162" s="397"/>
    </row>
    <row r="163" spans="1:8" s="213" customFormat="1">
      <c r="A163" s="218" t="s">
        <v>183</v>
      </c>
      <c r="B163" s="397">
        <v>-78492</v>
      </c>
      <c r="C163" s="397"/>
    </row>
    <row r="164" spans="1:8" s="213" customFormat="1">
      <c r="B164" s="397"/>
      <c r="C164" s="397"/>
    </row>
    <row r="165" spans="1:8" s="213" customFormat="1">
      <c r="A165" s="178" t="s">
        <v>142</v>
      </c>
      <c r="B165" s="397"/>
      <c r="C165" s="397"/>
    </row>
    <row r="166" spans="1:8" s="213" customFormat="1">
      <c r="A166" s="177" t="s">
        <v>138</v>
      </c>
      <c r="B166" s="397">
        <f>I80</f>
        <v>0</v>
      </c>
    </row>
    <row r="167" spans="1:8" s="213" customFormat="1">
      <c r="A167" s="177" t="s">
        <v>139</v>
      </c>
      <c r="B167" s="397">
        <f>I82</f>
        <v>0</v>
      </c>
    </row>
    <row r="168" spans="1:8">
      <c r="A168" s="177" t="s">
        <v>140</v>
      </c>
      <c r="B168" s="397">
        <f>I84</f>
        <v>0</v>
      </c>
    </row>
    <row r="169" spans="1:8">
      <c r="A169" s="177" t="s">
        <v>141</v>
      </c>
      <c r="B169" s="397">
        <f>I89</f>
        <v>0</v>
      </c>
      <c r="D169" s="356"/>
      <c r="E169" s="356"/>
      <c r="F169" s="356"/>
      <c r="G169" s="356"/>
      <c r="H169" s="356"/>
    </row>
    <row r="170" spans="1:8" s="219" customFormat="1" ht="15" thickBot="1">
      <c r="A170" s="214"/>
      <c r="B170" s="176"/>
      <c r="C170" s="123"/>
    </row>
    <row r="171" spans="1:8" s="219" customFormat="1">
      <c r="A171" s="200" t="s">
        <v>143</v>
      </c>
      <c r="B171" s="199">
        <f>I81</f>
        <v>1042164.2999302045</v>
      </c>
      <c r="C171" s="198"/>
      <c r="D171" s="197" t="s">
        <v>135</v>
      </c>
      <c r="E171" s="202">
        <f>I79</f>
        <v>4831489.9500022596</v>
      </c>
    </row>
    <row r="172" spans="1:8" s="219" customFormat="1">
      <c r="A172" s="231" t="s">
        <v>136</v>
      </c>
      <c r="B172" s="305">
        <f>'E-1.2 State Inc Tax Base'!G54</f>
        <v>1059899.1223152166</v>
      </c>
      <c r="C172" s="232"/>
      <c r="D172" s="227" t="s">
        <v>136</v>
      </c>
      <c r="E172" s="306">
        <f>'E-1.1 Federal Inc Tax Base'!G55</f>
        <v>4902251.8913184591</v>
      </c>
    </row>
    <row r="173" spans="1:8" s="219" customFormat="1">
      <c r="A173" s="234" t="s">
        <v>137</v>
      </c>
      <c r="B173" s="232">
        <f>B172-B171</f>
        <v>17734.822385012056</v>
      </c>
      <c r="C173" s="170"/>
      <c r="D173" s="228" t="s">
        <v>137</v>
      </c>
      <c r="E173" s="233">
        <f>E172-E171</f>
        <v>70761.941316199489</v>
      </c>
    </row>
    <row r="174" spans="1:8" s="219" customFormat="1">
      <c r="A174" s="231"/>
      <c r="B174" s="235"/>
      <c r="C174" s="170"/>
      <c r="D174" s="170"/>
      <c r="E174" s="236"/>
    </row>
    <row r="175" spans="1:8" s="219" customFormat="1">
      <c r="A175" s="231"/>
      <c r="B175" s="235"/>
      <c r="C175" s="170"/>
      <c r="D175" s="170"/>
      <c r="E175" s="236"/>
    </row>
    <row r="176" spans="1:8">
      <c r="A176" s="237"/>
      <c r="B176" s="238"/>
      <c r="C176" s="170"/>
      <c r="D176" s="170"/>
      <c r="E176" s="236"/>
    </row>
    <row r="177" spans="1:10">
      <c r="A177" s="231" t="s">
        <v>144</v>
      </c>
      <c r="B177" s="227"/>
      <c r="C177" s="227"/>
      <c r="D177" s="227" t="s">
        <v>145</v>
      </c>
      <c r="E177" s="239"/>
      <c r="F177" s="179"/>
    </row>
    <row r="178" spans="1:10">
      <c r="A178" s="240" t="s">
        <v>146</v>
      </c>
      <c r="B178" s="327">
        <f>I85</f>
        <v>-65942.498360214944</v>
      </c>
      <c r="C178" s="227"/>
      <c r="D178" s="241" t="s">
        <v>240</v>
      </c>
      <c r="E178" s="330">
        <f>I88</f>
        <v>0</v>
      </c>
      <c r="F178" s="179"/>
    </row>
    <row r="179" spans="1:10">
      <c r="A179" s="240" t="s">
        <v>147</v>
      </c>
      <c r="B179" s="327">
        <f>I84</f>
        <v>0</v>
      </c>
      <c r="C179" s="227"/>
      <c r="D179" s="241" t="s">
        <v>241</v>
      </c>
      <c r="E179" s="330">
        <f>I89</f>
        <v>0</v>
      </c>
      <c r="F179" s="179"/>
    </row>
    <row r="180" spans="1:10">
      <c r="A180" s="242" t="s">
        <v>148</v>
      </c>
      <c r="B180" s="327">
        <f>I87</f>
        <v>-612910.32232675899</v>
      </c>
      <c r="C180" s="227"/>
      <c r="D180" s="230" t="s">
        <v>242</v>
      </c>
      <c r="E180" s="330">
        <f>I90</f>
        <v>-62970.999999999993</v>
      </c>
      <c r="F180" s="179"/>
    </row>
    <row r="181" spans="1:10" ht="15" thickBot="1">
      <c r="A181" s="240" t="s">
        <v>24</v>
      </c>
      <c r="B181" s="328">
        <f>SUM(B178:B180)</f>
        <v>-678852.82068697398</v>
      </c>
      <c r="C181" s="227"/>
      <c r="D181" s="241" t="s">
        <v>24</v>
      </c>
      <c r="E181" s="331">
        <f>SUM(E178:E180)</f>
        <v>-62970.999999999993</v>
      </c>
      <c r="F181" s="179"/>
    </row>
    <row r="182" spans="1:10" ht="15" thickTop="1">
      <c r="A182" s="231" t="s">
        <v>149</v>
      </c>
      <c r="B182" s="327">
        <f>'E-1.2 State Inc Tax Base'!G66</f>
        <v>-6813.0189785188122</v>
      </c>
      <c r="C182" s="227"/>
      <c r="D182" s="227" t="s">
        <v>149</v>
      </c>
      <c r="E182" s="330">
        <f>'E-1.1 Federal Inc Tax Base'!G67</f>
        <v>-683336.75702428957</v>
      </c>
      <c r="F182" s="179"/>
    </row>
    <row r="183" spans="1:10" ht="15" thickBot="1">
      <c r="A183" s="243" t="s">
        <v>137</v>
      </c>
      <c r="B183" s="329">
        <f>B182-B181</f>
        <v>672039.8017084552</v>
      </c>
      <c r="C183" s="244"/>
      <c r="D183" s="245" t="s">
        <v>137</v>
      </c>
      <c r="E183" s="332">
        <f>SUM(E182-E181)</f>
        <v>-620365.75702428957</v>
      </c>
      <c r="F183" s="179"/>
    </row>
    <row r="185" spans="1:10" s="303" customFormat="1">
      <c r="A185" s="299" t="s">
        <v>291</v>
      </c>
      <c r="B185" s="298" t="s">
        <v>284</v>
      </c>
      <c r="C185" s="385"/>
      <c r="D185" s="298" t="s">
        <v>292</v>
      </c>
    </row>
    <row r="186" spans="1:10" s="303" customFormat="1">
      <c r="A186" s="123" t="s">
        <v>293</v>
      </c>
      <c r="B186" s="384">
        <f>SUM('[1]Link Out Monthly BY'!$F$422:$K$422)</f>
        <v>7732711</v>
      </c>
      <c r="C186" s="359"/>
      <c r="D186" s="156">
        <f>+'[7]Link Out'!$L$199</f>
        <v>17699702.398926131</v>
      </c>
      <c r="E186" s="123" t="s">
        <v>285</v>
      </c>
      <c r="F186" s="123"/>
      <c r="G186" s="123"/>
      <c r="H186" s="123"/>
      <c r="I186" s="123"/>
      <c r="J186" s="123"/>
    </row>
    <row r="187" spans="1:10" s="303" customFormat="1">
      <c r="A187" s="123" t="s">
        <v>245</v>
      </c>
      <c r="B187" s="323">
        <f>'[7]Link Out'!$I$199</f>
        <v>8041907.0594838336</v>
      </c>
      <c r="C187" s="359"/>
      <c r="D187" s="300">
        <f>+'[7]Link Out'!$L$200</f>
        <v>60084.127882371431</v>
      </c>
      <c r="E187" s="123" t="s">
        <v>294</v>
      </c>
      <c r="F187" s="123"/>
      <c r="G187" s="123"/>
      <c r="H187" s="123"/>
      <c r="I187" s="123"/>
      <c r="J187" s="123"/>
    </row>
    <row r="188" spans="1:10" s="303" customFormat="1" ht="15" thickBot="1">
      <c r="A188" s="295"/>
      <c r="B188" s="296">
        <f>SUM(B186:B187)</f>
        <v>15774618.059483834</v>
      </c>
      <c r="C188" s="359"/>
      <c r="D188" s="296">
        <f>SUM(D186:D187)</f>
        <v>17759786.526808504</v>
      </c>
      <c r="E188" s="123"/>
      <c r="F188" s="123"/>
      <c r="G188" s="123"/>
      <c r="H188" s="123"/>
      <c r="I188" s="123"/>
      <c r="J188" s="123"/>
    </row>
    <row r="189" spans="1:10">
      <c r="C189" s="170"/>
    </row>
    <row r="191" spans="1:10">
      <c r="A191" s="203" t="s">
        <v>204</v>
      </c>
      <c r="B191" s="298" t="s">
        <v>205</v>
      </c>
      <c r="C191" s="297" t="s">
        <v>206</v>
      </c>
    </row>
    <row r="192" spans="1:10">
      <c r="A192" s="123" t="s">
        <v>248</v>
      </c>
      <c r="B192" s="195">
        <v>6095362.1017596545</v>
      </c>
      <c r="C192" s="195">
        <v>7681086.1317596538</v>
      </c>
      <c r="D192" s="123"/>
      <c r="E192" s="123"/>
      <c r="F192" s="123"/>
      <c r="G192" s="123"/>
      <c r="H192" s="123"/>
      <c r="I192" s="123"/>
      <c r="J192" s="123"/>
    </row>
    <row r="193" spans="1:10">
      <c r="A193" s="123" t="s">
        <v>245</v>
      </c>
      <c r="B193" s="195">
        <f>SUM('[5]Fed Tax Dep'!$M$38:$R$38)</f>
        <v>6580286.7617286332</v>
      </c>
      <c r="C193" s="195">
        <f>SUM('[5]State Tax Dep'!$M$38:$R$38)</f>
        <v>8119099.9283952992</v>
      </c>
      <c r="D193" s="123"/>
      <c r="E193" s="123"/>
      <c r="F193" s="123"/>
      <c r="G193" s="123"/>
      <c r="H193" s="123"/>
      <c r="I193" s="123"/>
      <c r="J193" s="123"/>
    </row>
    <row r="194" spans="1:10" ht="15" thickBot="1">
      <c r="A194" s="295"/>
      <c r="B194" s="296">
        <f>SUM(B192:B193)</f>
        <v>12675648.863488287</v>
      </c>
      <c r="C194" s="296">
        <f>SUM(C192:C193)</f>
        <v>15800186.060154952</v>
      </c>
      <c r="D194" s="123"/>
      <c r="E194" s="123"/>
      <c r="F194" s="123"/>
      <c r="G194" s="123"/>
      <c r="H194" s="123"/>
      <c r="I194" s="123"/>
      <c r="J194" s="123"/>
    </row>
    <row r="195" spans="1:10">
      <c r="A195" s="123"/>
      <c r="C195" s="123"/>
      <c r="D195" s="123"/>
      <c r="E195" s="123"/>
      <c r="F195" s="123"/>
      <c r="G195" s="123"/>
      <c r="H195" s="123"/>
      <c r="I195" s="123"/>
      <c r="J195" s="123"/>
    </row>
    <row r="196" spans="1:10">
      <c r="A196" s="133" t="s">
        <v>207</v>
      </c>
      <c r="C196" s="123"/>
      <c r="D196" s="123"/>
      <c r="E196" s="123"/>
      <c r="F196" s="123"/>
      <c r="G196" s="123"/>
      <c r="H196" s="123"/>
      <c r="I196" s="123"/>
      <c r="J196" s="123"/>
    </row>
    <row r="197" spans="1:10">
      <c r="A197" s="123" t="s">
        <v>248</v>
      </c>
      <c r="B197" s="195">
        <v>3784994.6243962054</v>
      </c>
      <c r="C197" s="123"/>
      <c r="D197" s="123"/>
      <c r="E197" s="123"/>
      <c r="F197" s="123"/>
      <c r="G197" s="123"/>
      <c r="H197" s="123"/>
      <c r="I197" s="123"/>
      <c r="J197" s="123"/>
    </row>
    <row r="198" spans="1:10">
      <c r="A198" s="123" t="s">
        <v>245</v>
      </c>
      <c r="B198" s="195">
        <f>-SUM('[5]Fed Tax Dep'!$H$14:$H$19)</f>
        <v>1117753.8389695289</v>
      </c>
      <c r="C198" s="123"/>
      <c r="D198" s="123"/>
      <c r="E198" s="123"/>
      <c r="F198" s="123"/>
      <c r="G198" s="123"/>
      <c r="H198" s="123"/>
      <c r="I198" s="123"/>
      <c r="J198" s="123"/>
    </row>
    <row r="199" spans="1:10" ht="15" thickBot="1">
      <c r="A199" s="123"/>
      <c r="B199" s="296">
        <f>SUM(B197+B198)</f>
        <v>4902748.4633657346</v>
      </c>
      <c r="C199" s="123"/>
      <c r="D199" s="123"/>
      <c r="E199" s="123"/>
      <c r="F199" s="123"/>
      <c r="G199" s="123"/>
      <c r="H199" s="123"/>
      <c r="I199" s="123"/>
      <c r="J199" s="123"/>
    </row>
    <row r="200" spans="1:10" ht="15.6" thickTop="1" thickBot="1">
      <c r="A200" s="295"/>
      <c r="B200" s="295"/>
      <c r="C200" s="295"/>
      <c r="D200" s="123"/>
      <c r="E200" s="123"/>
      <c r="F200" s="123"/>
      <c r="G200" s="123"/>
      <c r="H200" s="123"/>
      <c r="I200" s="123"/>
      <c r="J200" s="123"/>
    </row>
    <row r="201" spans="1:10">
      <c r="A201" s="123"/>
      <c r="C201" s="123"/>
      <c r="D201" s="123"/>
      <c r="E201" s="123"/>
      <c r="F201" s="123"/>
      <c r="G201" s="123"/>
      <c r="H201" s="123"/>
      <c r="I201" s="123"/>
      <c r="J201" s="123"/>
    </row>
    <row r="202" spans="1:10">
      <c r="A202" s="336" t="s">
        <v>295</v>
      </c>
      <c r="C202" s="123"/>
      <c r="D202" s="123"/>
      <c r="E202" s="123"/>
      <c r="F202" s="123"/>
      <c r="G202" s="123"/>
      <c r="H202" s="123"/>
      <c r="I202" s="123"/>
      <c r="J202" s="123"/>
    </row>
    <row r="203" spans="1:10">
      <c r="A203" s="123" t="s">
        <v>287</v>
      </c>
      <c r="B203" s="383">
        <v>3069598.66</v>
      </c>
      <c r="C203" s="123" t="s">
        <v>286</v>
      </c>
      <c r="D203" s="123"/>
      <c r="E203" s="123"/>
      <c r="F203" s="123"/>
      <c r="G203" s="123"/>
      <c r="H203" s="123"/>
      <c r="I203" s="123"/>
      <c r="J203" s="123"/>
    </row>
    <row r="204" spans="1:10" s="303" customFormat="1">
      <c r="A204" s="123" t="s">
        <v>298</v>
      </c>
      <c r="B204" s="383">
        <f>+'[7]Link Out'!$I$207</f>
        <v>1417852.1084130579</v>
      </c>
      <c r="C204" s="123" t="s">
        <v>285</v>
      </c>
      <c r="D204" s="123"/>
      <c r="E204" s="123"/>
      <c r="F204" s="123"/>
      <c r="G204" s="123"/>
      <c r="H204" s="123"/>
      <c r="I204" s="123"/>
      <c r="J204" s="123"/>
    </row>
    <row r="205" spans="1:10">
      <c r="A205" s="123" t="s">
        <v>297</v>
      </c>
      <c r="B205" s="174">
        <f>'[7]Link Out'!$I$204</f>
        <v>3062609.6034163898</v>
      </c>
      <c r="C205" s="123" t="s">
        <v>285</v>
      </c>
      <c r="D205" s="123"/>
      <c r="E205" s="123"/>
      <c r="F205" s="123"/>
      <c r="G205" s="123"/>
      <c r="H205" s="123"/>
      <c r="I205" s="123"/>
      <c r="J205" s="123"/>
    </row>
    <row r="206" spans="1:10" ht="15" thickBot="1">
      <c r="A206" s="123"/>
      <c r="B206" s="296">
        <f>SUM(B203:B205)</f>
        <v>7550060.3718294473</v>
      </c>
      <c r="C206" s="123"/>
      <c r="D206" s="123"/>
      <c r="E206" s="123"/>
      <c r="F206" s="123"/>
      <c r="G206" s="123"/>
      <c r="H206" s="123"/>
      <c r="I206" s="123"/>
      <c r="J206" s="123"/>
    </row>
    <row r="207" spans="1:10" ht="15.6" thickTop="1" thickBot="1">
      <c r="A207" s="295"/>
      <c r="B207" s="295"/>
      <c r="C207" s="295"/>
      <c r="D207" s="123"/>
      <c r="E207" s="123"/>
      <c r="F207" s="123"/>
      <c r="G207" s="123"/>
      <c r="H207" s="123"/>
      <c r="I207" s="123"/>
      <c r="J207" s="123"/>
    </row>
    <row r="208" spans="1:10">
      <c r="A208" s="123"/>
      <c r="C208" s="123"/>
      <c r="D208" s="123"/>
      <c r="E208" s="123"/>
      <c r="F208" s="123"/>
      <c r="G208" s="123"/>
      <c r="H208" s="123"/>
      <c r="I208" s="123"/>
      <c r="J208" s="123"/>
    </row>
    <row r="209" spans="1:10">
      <c r="A209" s="133" t="s">
        <v>208</v>
      </c>
      <c r="C209" s="123"/>
      <c r="D209" s="123"/>
      <c r="E209" s="123"/>
      <c r="F209" s="123"/>
      <c r="G209" s="123"/>
      <c r="H209" s="123"/>
      <c r="I209" s="123"/>
      <c r="J209" s="123"/>
    </row>
    <row r="210" spans="1:10">
      <c r="A210" s="123" t="s">
        <v>246</v>
      </c>
      <c r="B210" s="383">
        <v>843842</v>
      </c>
      <c r="C210" s="123" t="s">
        <v>277</v>
      </c>
      <c r="D210" s="123"/>
      <c r="E210" s="123"/>
      <c r="F210" s="123"/>
      <c r="G210" s="123"/>
      <c r="H210" s="123"/>
      <c r="I210" s="123"/>
      <c r="J210" s="123"/>
    </row>
    <row r="211" spans="1:10">
      <c r="A211" s="123" t="s">
        <v>245</v>
      </c>
      <c r="B211" s="195">
        <v>603056.28833333356</v>
      </c>
      <c r="C211" s="123" t="s">
        <v>278</v>
      </c>
      <c r="D211" s="123"/>
      <c r="E211" s="123"/>
      <c r="F211" s="123"/>
      <c r="G211" s="123"/>
      <c r="H211" s="123"/>
      <c r="I211" s="123"/>
      <c r="J211" s="123"/>
    </row>
    <row r="212" spans="1:10" ht="15" thickBot="1">
      <c r="A212" s="123"/>
      <c r="B212" s="296">
        <f>SUM(B210:B211)</f>
        <v>1446898.2883333336</v>
      </c>
      <c r="C212" s="123"/>
      <c r="D212" s="123"/>
      <c r="E212" s="123"/>
      <c r="F212" s="123"/>
      <c r="G212" s="123"/>
      <c r="H212" s="123"/>
      <c r="I212" s="123"/>
      <c r="J212" s="123"/>
    </row>
    <row r="213" spans="1:10" ht="15.6" thickTop="1" thickBot="1">
      <c r="A213" s="295"/>
      <c r="B213" s="295"/>
      <c r="C213" s="295"/>
      <c r="D213" s="123"/>
      <c r="E213" s="123"/>
      <c r="F213" s="123"/>
      <c r="G213" s="123"/>
      <c r="H213" s="123"/>
      <c r="I213" s="123"/>
      <c r="J213" s="123"/>
    </row>
    <row r="214" spans="1:10">
      <c r="A214" s="123"/>
      <c r="C214" s="123"/>
      <c r="D214" s="123"/>
      <c r="E214" s="123"/>
      <c r="F214" s="123"/>
      <c r="G214" s="123"/>
      <c r="H214" s="123"/>
      <c r="I214" s="123"/>
      <c r="J214" s="123"/>
    </row>
    <row r="215" spans="1:10">
      <c r="A215" s="133" t="s">
        <v>209</v>
      </c>
      <c r="B215" s="298" t="s">
        <v>210</v>
      </c>
      <c r="C215" s="298" t="s">
        <v>211</v>
      </c>
      <c r="D215" s="123"/>
      <c r="E215" s="123"/>
      <c r="F215" s="123"/>
      <c r="G215" s="123"/>
      <c r="H215" s="123"/>
      <c r="I215" s="123"/>
      <c r="J215" s="123"/>
    </row>
    <row r="216" spans="1:10">
      <c r="A216" s="123" t="s">
        <v>246</v>
      </c>
      <c r="B216" s="359">
        <f>-B234</f>
        <v>-910435.05702862726</v>
      </c>
      <c r="C216" s="359">
        <f>-C234</f>
        <v>-249479.61623524499</v>
      </c>
      <c r="D216" s="123"/>
      <c r="E216" s="195">
        <f>+B188-B194-B199+B206+B212</f>
        <v>7193179.3927925937</v>
      </c>
      <c r="F216" s="123"/>
      <c r="G216" s="123"/>
      <c r="H216" s="123"/>
      <c r="I216" s="123"/>
      <c r="J216" s="123"/>
    </row>
    <row r="217" spans="1:10">
      <c r="A217" s="123" t="s">
        <v>245</v>
      </c>
      <c r="B217" s="300">
        <f>SUM('[5]Deferred Taxes UPIS'!$O$9:$O$14)</f>
        <v>-558904</v>
      </c>
      <c r="C217" s="300">
        <f>SUM('[5]Deferred Taxes UPIS'!$M$9:$M$14)</f>
        <v>-59086</v>
      </c>
      <c r="D217" s="123"/>
      <c r="E217" s="123"/>
      <c r="F217" s="123"/>
      <c r="G217" s="123"/>
      <c r="H217" s="123"/>
      <c r="I217" s="123"/>
      <c r="J217" s="123"/>
    </row>
    <row r="218" spans="1:10">
      <c r="A218" s="123"/>
      <c r="B218" s="300">
        <f>SUM(B216:B217)</f>
        <v>-1469339.0570286273</v>
      </c>
      <c r="C218" s="300">
        <f>SUM(C216:C217)</f>
        <v>-308565.61623524502</v>
      </c>
      <c r="D218" s="123"/>
      <c r="E218" s="123"/>
      <c r="F218" s="123"/>
      <c r="G218" s="123"/>
      <c r="H218" s="123"/>
      <c r="I218" s="123"/>
      <c r="J218" s="123"/>
    </row>
    <row r="219" spans="1:10">
      <c r="A219" s="123"/>
      <c r="C219" s="123"/>
      <c r="D219" s="123"/>
      <c r="E219" s="123"/>
      <c r="F219" s="123"/>
      <c r="G219" s="123"/>
      <c r="H219" s="123"/>
      <c r="I219" s="123"/>
      <c r="J219" s="123"/>
    </row>
    <row r="220" spans="1:10" ht="16.2">
      <c r="A220" s="337" t="s">
        <v>249</v>
      </c>
      <c r="B220" s="338" t="s">
        <v>210</v>
      </c>
      <c r="C220" s="338" t="s">
        <v>211</v>
      </c>
      <c r="D220" s="123"/>
      <c r="E220" s="123"/>
      <c r="F220" s="123"/>
      <c r="G220" s="123"/>
      <c r="H220" s="123"/>
      <c r="I220" s="123"/>
      <c r="J220" s="123"/>
    </row>
    <row r="221" spans="1:10">
      <c r="A221" s="257" t="s">
        <v>212</v>
      </c>
      <c r="B221" s="174">
        <v>36047336.716039985</v>
      </c>
      <c r="C221" s="174">
        <f>B221</f>
        <v>36047336.716039985</v>
      </c>
      <c r="D221" s="123"/>
      <c r="E221" s="123"/>
      <c r="F221" s="123"/>
      <c r="G221" s="123"/>
      <c r="H221" s="123"/>
      <c r="I221" s="123"/>
      <c r="J221" s="123"/>
    </row>
    <row r="222" spans="1:10">
      <c r="A222" s="257" t="s">
        <v>213</v>
      </c>
      <c r="B222" s="300">
        <v>14817184.2643208</v>
      </c>
      <c r="C222" s="300">
        <v>15626599.6143208</v>
      </c>
      <c r="D222" s="123"/>
      <c r="E222" s="123"/>
      <c r="F222" s="123"/>
      <c r="G222" s="123"/>
      <c r="H222" s="123"/>
      <c r="I222" s="123"/>
      <c r="J222" s="123"/>
    </row>
    <row r="223" spans="1:10">
      <c r="A223" s="257"/>
      <c r="B223" s="195">
        <f>+B221-B222</f>
        <v>21230152.451719187</v>
      </c>
      <c r="C223" s="195">
        <f>+C221-C222</f>
        <v>20420737.101719186</v>
      </c>
      <c r="D223" s="123"/>
      <c r="E223" s="123"/>
      <c r="F223" s="123"/>
      <c r="G223" s="123"/>
      <c r="H223" s="123"/>
      <c r="I223" s="123"/>
      <c r="J223" s="123"/>
    </row>
    <row r="224" spans="1:10">
      <c r="A224" s="257"/>
      <c r="C224" s="123"/>
      <c r="D224" s="123"/>
      <c r="E224" s="123"/>
      <c r="F224" s="123"/>
      <c r="G224" s="123"/>
      <c r="H224" s="123"/>
      <c r="I224" s="123"/>
      <c r="J224" s="123"/>
    </row>
    <row r="225" spans="1:10">
      <c r="A225" s="257" t="s">
        <v>214</v>
      </c>
      <c r="B225" s="174">
        <v>41877837.230000004</v>
      </c>
      <c r="C225" s="174">
        <f>+B225</f>
        <v>41877837.230000004</v>
      </c>
      <c r="D225" s="123"/>
      <c r="E225" s="123"/>
      <c r="F225" s="123"/>
      <c r="G225" s="123"/>
      <c r="H225" s="123"/>
      <c r="I225" s="123"/>
      <c r="J225" s="123"/>
    </row>
    <row r="226" spans="1:10">
      <c r="A226" s="257" t="s">
        <v>215</v>
      </c>
      <c r="B226" s="300">
        <v>10487197.76</v>
      </c>
      <c r="C226" s="352">
        <f>+B226</f>
        <v>10487197.76</v>
      </c>
      <c r="D226" s="123"/>
      <c r="E226" s="123"/>
      <c r="F226" s="123"/>
      <c r="G226" s="123"/>
      <c r="H226" s="123"/>
      <c r="I226" s="123"/>
      <c r="J226" s="123"/>
    </row>
    <row r="227" spans="1:10">
      <c r="A227" s="257"/>
      <c r="B227" s="195">
        <f>+B225-B226</f>
        <v>31390639.470000006</v>
      </c>
      <c r="C227" s="195">
        <f>+C225-C226</f>
        <v>31390639.470000006</v>
      </c>
      <c r="D227" s="123"/>
      <c r="E227" s="123"/>
      <c r="F227" s="123"/>
      <c r="G227" s="123"/>
      <c r="H227" s="123"/>
      <c r="I227" s="123"/>
      <c r="J227" s="123"/>
    </row>
    <row r="228" spans="1:10">
      <c r="A228" s="340" t="s">
        <v>235</v>
      </c>
      <c r="B228" s="195">
        <f>+J247</f>
        <v>-495358.85943551071</v>
      </c>
      <c r="C228" s="195">
        <f>+B228</f>
        <v>-495358.85943551071</v>
      </c>
      <c r="D228" s="123"/>
      <c r="E228" s="123"/>
      <c r="F228" s="123"/>
      <c r="G228" s="123"/>
      <c r="H228" s="123"/>
      <c r="I228" s="123"/>
      <c r="J228" s="123"/>
    </row>
    <row r="229" spans="1:10">
      <c r="A229" s="257"/>
      <c r="C229" s="123"/>
      <c r="D229" s="123"/>
      <c r="E229" s="123"/>
      <c r="F229" s="123"/>
      <c r="G229" s="123"/>
      <c r="H229" s="123"/>
      <c r="I229" s="123"/>
      <c r="J229" s="123"/>
    </row>
    <row r="230" spans="1:10">
      <c r="A230" s="257" t="s">
        <v>216</v>
      </c>
      <c r="B230" s="195">
        <f>+(B227-B223)/2+B228</f>
        <v>4584884.6497048987</v>
      </c>
      <c r="C230" s="195">
        <f>+(C227-C223)/2+C228</f>
        <v>4989592.3247048995</v>
      </c>
      <c r="D230" s="123"/>
      <c r="E230" s="123"/>
      <c r="F230" s="123"/>
      <c r="G230" s="123"/>
      <c r="H230" s="123"/>
      <c r="I230" s="123"/>
      <c r="J230" s="123"/>
    </row>
    <row r="231" spans="1:10">
      <c r="A231" s="257"/>
      <c r="B231" s="195"/>
      <c r="C231" s="195"/>
      <c r="D231" s="123"/>
      <c r="E231" s="123"/>
      <c r="F231" s="123"/>
      <c r="G231" s="123"/>
      <c r="H231" s="123"/>
      <c r="I231" s="123"/>
      <c r="J231" s="123"/>
    </row>
    <row r="232" spans="1:10">
      <c r="A232" s="257" t="s">
        <v>217</v>
      </c>
      <c r="B232" s="195"/>
      <c r="C232" s="195">
        <f>+C230*0.05</f>
        <v>249479.61623524499</v>
      </c>
      <c r="D232" s="123"/>
      <c r="E232" s="123"/>
      <c r="F232" s="123"/>
      <c r="G232" s="123"/>
      <c r="H232" s="123"/>
      <c r="I232" s="123"/>
      <c r="J232" s="123"/>
    </row>
    <row r="233" spans="1:10">
      <c r="A233" s="257" t="s">
        <v>218</v>
      </c>
      <c r="B233" s="300">
        <f>(+B230-C232)*0.21</f>
        <v>910435.05702862726</v>
      </c>
      <c r="C233" s="300"/>
      <c r="D233" s="123"/>
      <c r="E233" s="123"/>
      <c r="F233" s="123"/>
      <c r="G233" s="123"/>
      <c r="H233" s="123"/>
      <c r="I233" s="123"/>
      <c r="J233" s="123"/>
    </row>
    <row r="234" spans="1:10">
      <c r="A234" s="257" t="s">
        <v>250</v>
      </c>
      <c r="B234" s="195">
        <f>SUM(B232:B233)</f>
        <v>910435.05702862726</v>
      </c>
      <c r="C234" s="195">
        <f>SUM(C232:C233)</f>
        <v>249479.61623524499</v>
      </c>
      <c r="D234" s="123"/>
      <c r="E234" s="123"/>
      <c r="F234" s="123"/>
      <c r="G234" s="123"/>
      <c r="H234" s="123"/>
      <c r="I234" s="123"/>
      <c r="J234" s="123"/>
    </row>
    <row r="235" spans="1:10">
      <c r="A235" s="257"/>
      <c r="B235" s="195"/>
      <c r="C235" s="195"/>
      <c r="D235" s="123"/>
      <c r="E235" s="123"/>
      <c r="F235" s="123"/>
      <c r="G235" s="123"/>
      <c r="H235" s="123"/>
      <c r="I235" s="123"/>
      <c r="J235" s="123"/>
    </row>
    <row r="236" spans="1:10">
      <c r="A236" s="257"/>
      <c r="B236" s="195"/>
      <c r="C236" s="195"/>
      <c r="D236" s="123"/>
      <c r="E236" s="123"/>
      <c r="F236" s="123"/>
      <c r="G236" s="123"/>
      <c r="H236" s="123"/>
      <c r="I236" s="123"/>
      <c r="J236" s="123"/>
    </row>
    <row r="237" spans="1:10">
      <c r="A237" s="123"/>
      <c r="C237" s="123"/>
      <c r="D237" s="123"/>
      <c r="E237" s="123"/>
      <c r="F237" s="123"/>
      <c r="G237" s="123"/>
      <c r="H237" s="123"/>
      <c r="I237" s="123"/>
      <c r="J237" s="123"/>
    </row>
    <row r="238" spans="1:10" ht="15" thickBot="1">
      <c r="A238" s="295"/>
      <c r="B238" s="295"/>
      <c r="C238" s="295"/>
      <c r="D238" s="295"/>
      <c r="E238" s="295"/>
      <c r="F238" s="295"/>
      <c r="G238" s="295"/>
      <c r="H238" s="295"/>
      <c r="I238" s="295"/>
      <c r="J238" s="123"/>
    </row>
    <row r="239" spans="1:10">
      <c r="A239" s="123"/>
      <c r="C239" s="123"/>
      <c r="D239" s="123"/>
      <c r="E239" s="123"/>
      <c r="F239" s="123"/>
      <c r="G239" s="123"/>
      <c r="H239" s="123"/>
      <c r="I239" s="123"/>
      <c r="J239" s="123"/>
    </row>
    <row r="240" spans="1:10">
      <c r="A240" s="123"/>
      <c r="B240" s="353" t="s">
        <v>219</v>
      </c>
      <c r="C240" s="353" t="s">
        <v>220</v>
      </c>
      <c r="D240" s="353"/>
      <c r="E240" s="353" t="s">
        <v>221</v>
      </c>
      <c r="F240" s="353"/>
      <c r="G240" s="353"/>
      <c r="H240" s="353" t="s">
        <v>222</v>
      </c>
      <c r="I240" s="353" t="s">
        <v>223</v>
      </c>
      <c r="J240" s="123"/>
    </row>
    <row r="241" spans="1:11">
      <c r="A241" s="123"/>
      <c r="B241" s="353" t="s">
        <v>224</v>
      </c>
      <c r="C241" s="353" t="s">
        <v>225</v>
      </c>
      <c r="D241" s="353" t="s">
        <v>226</v>
      </c>
      <c r="E241" s="353" t="s">
        <v>227</v>
      </c>
      <c r="F241" s="353" t="s">
        <v>228</v>
      </c>
      <c r="G241" s="353" t="s">
        <v>229</v>
      </c>
      <c r="H241" s="353" t="s">
        <v>230</v>
      </c>
      <c r="I241" s="353" t="s">
        <v>229</v>
      </c>
      <c r="J241" s="123"/>
      <c r="K241" s="303"/>
    </row>
    <row r="242" spans="1:11" ht="57.6">
      <c r="A242" s="123"/>
      <c r="B242" s="354" t="s">
        <v>253</v>
      </c>
      <c r="C242" s="354">
        <v>18504000</v>
      </c>
      <c r="D242" s="354">
        <v>18504500</v>
      </c>
      <c r="E242" s="354">
        <v>25211000</v>
      </c>
      <c r="F242" s="355" t="s">
        <v>254</v>
      </c>
      <c r="G242" s="355" t="s">
        <v>255</v>
      </c>
      <c r="H242" s="355" t="s">
        <v>256</v>
      </c>
      <c r="I242" s="355" t="s">
        <v>257</v>
      </c>
      <c r="J242" s="123"/>
      <c r="K242" s="303"/>
    </row>
    <row r="243" spans="1:11">
      <c r="A243" s="123" t="s">
        <v>251</v>
      </c>
      <c r="B243" s="158">
        <v>5925193.5700000003</v>
      </c>
      <c r="C243" s="158">
        <v>0.38</v>
      </c>
      <c r="D243" s="158">
        <v>-232220.61</v>
      </c>
      <c r="E243" s="158">
        <v>-11673136.700000001</v>
      </c>
      <c r="F243" s="158">
        <v>-68961694.979999989</v>
      </c>
      <c r="G243" s="158">
        <v>-358651.09</v>
      </c>
      <c r="H243" s="158">
        <v>-45124578.719999999</v>
      </c>
      <c r="I243" s="158">
        <v>-200634.28</v>
      </c>
      <c r="J243" s="123"/>
    </row>
    <row r="244" spans="1:11">
      <c r="A244" s="123"/>
      <c r="C244" s="123"/>
      <c r="D244" s="123"/>
      <c r="E244" s="123"/>
      <c r="F244" s="123"/>
      <c r="G244" s="123"/>
      <c r="H244" s="123"/>
      <c r="I244" s="123"/>
      <c r="J244" s="123"/>
    </row>
    <row r="245" spans="1:11">
      <c r="A245" s="123" t="s">
        <v>252</v>
      </c>
      <c r="B245" s="158">
        <f>'[5]Equity Grossup'!$G$10</f>
        <v>5926188.7300000004</v>
      </c>
      <c r="C245" s="158">
        <f>'[5]BookBasis '!$I$10</f>
        <v>0.38</v>
      </c>
      <c r="D245" s="158">
        <f>'[5]BookBasis '!$K$10</f>
        <v>-220170.63</v>
      </c>
      <c r="E245" s="158">
        <f>'[5]BookBasis '!$M$10</f>
        <v>-11420618.5</v>
      </c>
      <c r="F245" s="158">
        <f>'[5]BookBasis '!$O$10</f>
        <v>-69802031.480000019</v>
      </c>
      <c r="G245" s="158">
        <f>'[5]BookBasis '!$Q$10</f>
        <v>-319405</v>
      </c>
      <c r="H245" s="158">
        <f>'[5]BookBasis '!$S$10</f>
        <v>-45106517.456102148</v>
      </c>
      <c r="I245" s="158">
        <f>'[5]BookBasis '!$U$10</f>
        <v>-178527.33333333334</v>
      </c>
      <c r="J245" s="123"/>
    </row>
    <row r="246" spans="1:11">
      <c r="A246" s="123"/>
      <c r="B246" s="339"/>
      <c r="C246" s="339"/>
      <c r="D246" s="339"/>
      <c r="E246" s="339"/>
      <c r="F246" s="339"/>
      <c r="G246" s="339"/>
      <c r="H246" s="339"/>
      <c r="I246" s="339"/>
      <c r="J246" s="123"/>
    </row>
    <row r="247" spans="1:11">
      <c r="A247" s="123" t="s">
        <v>234</v>
      </c>
      <c r="B247" s="174">
        <f>+B245-B243</f>
        <v>995.16000000014901</v>
      </c>
      <c r="C247" s="174">
        <f t="shared" ref="C247:I247" si="2">+C245-C243</f>
        <v>0</v>
      </c>
      <c r="D247" s="174">
        <f t="shared" si="2"/>
        <v>12049.979999999981</v>
      </c>
      <c r="E247" s="174">
        <f t="shared" si="2"/>
        <v>252518.20000000112</v>
      </c>
      <c r="F247" s="174">
        <f t="shared" si="2"/>
        <v>-840336.5000000298</v>
      </c>
      <c r="G247" s="174">
        <f t="shared" si="2"/>
        <v>39246.090000000026</v>
      </c>
      <c r="H247" s="174">
        <f t="shared" si="2"/>
        <v>18061.26389785111</v>
      </c>
      <c r="I247" s="174">
        <f t="shared" si="2"/>
        <v>22106.946666666656</v>
      </c>
      <c r="J247" s="174">
        <f>SUM(B247:I247)</f>
        <v>-495358.85943551071</v>
      </c>
    </row>
    <row r="248" spans="1:11">
      <c r="A248" s="123"/>
      <c r="C248" s="123"/>
      <c r="D248" s="123"/>
      <c r="E248" s="123"/>
      <c r="F248" s="123"/>
      <c r="G248" s="123"/>
      <c r="H248" s="123"/>
      <c r="I248" s="123"/>
      <c r="J248" s="123"/>
    </row>
    <row r="249" spans="1:11">
      <c r="H249" s="160"/>
    </row>
    <row r="253" spans="1:11" ht="15" thickBot="1">
      <c r="A253" s="249"/>
      <c r="B253" s="295"/>
      <c r="C253" s="249"/>
      <c r="D253" s="249"/>
      <c r="E253" s="249"/>
      <c r="F253" s="249"/>
      <c r="G253" s="249"/>
      <c r="H253" s="249"/>
      <c r="I253" s="249"/>
    </row>
    <row r="255" spans="1:11">
      <c r="A255" s="122" t="s">
        <v>231</v>
      </c>
    </row>
    <row r="256" spans="1:11">
      <c r="B256" s="339" t="s">
        <v>259</v>
      </c>
      <c r="C256" s="169" t="s">
        <v>258</v>
      </c>
      <c r="D256" s="169" t="str">
        <f>C7</f>
        <v>Base Year for the 12 Months Ended 2/28/19</v>
      </c>
      <c r="F256" s="169" t="s">
        <v>289</v>
      </c>
      <c r="G256" s="169" t="s">
        <v>288</v>
      </c>
      <c r="H256" s="169" t="s">
        <v>290</v>
      </c>
    </row>
    <row r="257" spans="1:8">
      <c r="A257" s="301" t="s">
        <v>236</v>
      </c>
      <c r="B257" s="359">
        <f>SUM('[5]Amort RAL 2018'!$M$60:$AE$60)</f>
        <v>-56839.443077956894</v>
      </c>
      <c r="C257" s="171">
        <f>SUM('[5]Amort RAL 2019'!$I$60:$K$60)</f>
        <v>-9103.0552822580466</v>
      </c>
      <c r="D257" s="151">
        <f>SUM(B257:C257)</f>
        <v>-65942.498360214944</v>
      </c>
      <c r="F257" s="335">
        <v>-27311.110220440882</v>
      </c>
      <c r="G257" s="335">
        <v>-27311.110220440882</v>
      </c>
      <c r="H257" s="335">
        <f>SUM(F257:G257)</f>
        <v>-54622.220440881763</v>
      </c>
    </row>
    <row r="258" spans="1:8">
      <c r="A258" s="301" t="s">
        <v>237</v>
      </c>
      <c r="B258" s="300">
        <f>SUM('[5]Amort RAL 2018'!$M$54:$AE$54)</f>
        <v>-52575</v>
      </c>
      <c r="C258" s="304">
        <f>SUM('[5]Amort RAL 2019'!$I$54:$K$54)</f>
        <v>-10396</v>
      </c>
      <c r="D258" s="304">
        <f>SUM(B258:C258)</f>
        <v>-62971</v>
      </c>
      <c r="F258" s="382">
        <v>-31187.055626333255</v>
      </c>
      <c r="G258" s="382">
        <v>-31187.055626333255</v>
      </c>
      <c r="H258" s="382">
        <f>SUM(F258:G258)</f>
        <v>-62374.111252666509</v>
      </c>
    </row>
    <row r="259" spans="1:8">
      <c r="B259" s="195">
        <f>SUM(B257:B258)</f>
        <v>-109414.44307795689</v>
      </c>
      <c r="C259" s="151">
        <f>SUM(C257:C258)</f>
        <v>-19499.055282258047</v>
      </c>
      <c r="D259" s="151">
        <f>SUM(B259:C259)</f>
        <v>-128913.49836021494</v>
      </c>
      <c r="F259" s="151">
        <f t="shared" ref="F259:H259" si="3">SUM(D259:E259)</f>
        <v>-128913.49836021494</v>
      </c>
      <c r="G259" s="151">
        <f t="shared" si="3"/>
        <v>-128913.49836021494</v>
      </c>
      <c r="H259" s="151">
        <f t="shared" si="3"/>
        <v>-257826.99672042989</v>
      </c>
    </row>
    <row r="260" spans="1:8">
      <c r="D260" s="303"/>
    </row>
    <row r="261" spans="1:8" ht="15" thickBot="1">
      <c r="A261" s="249"/>
      <c r="B261" s="295"/>
      <c r="C261" s="249"/>
      <c r="D261" s="249"/>
    </row>
    <row r="262" spans="1:8">
      <c r="D262" s="303"/>
    </row>
    <row r="263" spans="1:8">
      <c r="A263" s="122" t="s">
        <v>232</v>
      </c>
      <c r="B263" s="238"/>
      <c r="C263" s="170"/>
      <c r="D263" s="170"/>
    </row>
    <row r="264" spans="1:8">
      <c r="B264" s="339" t="str">
        <f>B256</f>
        <v>March - Dec 2018</v>
      </c>
      <c r="C264" s="169" t="str">
        <f>C256</f>
        <v>Jan - Feb 2019</v>
      </c>
      <c r="D264" s="169" t="str">
        <f>D256</f>
        <v>Base Year for the 12 Months Ended 2/28/19</v>
      </c>
      <c r="F264" s="169" t="s">
        <v>289</v>
      </c>
      <c r="G264" s="169" t="s">
        <v>288</v>
      </c>
      <c r="H264" s="169" t="s">
        <v>290</v>
      </c>
    </row>
    <row r="265" spans="1:8">
      <c r="A265" s="302" t="s">
        <v>233</v>
      </c>
      <c r="B265" s="359">
        <f>SUM('[5]Amort RAL 2018'!$M$62:$AE$62)</f>
        <v>-65410</v>
      </c>
      <c r="C265" s="171">
        <f>SUM('[5]Amort RAL 2019'!$I$62:$K$62)</f>
        <v>-13082</v>
      </c>
      <c r="D265" s="171">
        <f>SUM(B265:C265)</f>
        <v>-78492</v>
      </c>
      <c r="F265" s="335">
        <v>-39246</v>
      </c>
      <c r="G265" s="335">
        <v>-39246</v>
      </c>
      <c r="H265" s="335">
        <f>SUM(F265:G265)</f>
        <v>-78492</v>
      </c>
    </row>
  </sheetData>
  <mergeCells count="2">
    <mergeCell ref="I114:L114"/>
    <mergeCell ref="D114:G114"/>
  </mergeCells>
  <printOptions horizontalCentered="1" verticalCentered="1"/>
  <pageMargins left="0.75" right="0.75" top="0.75" bottom="0.75" header="0.3" footer="0.3"/>
  <pageSetup scale="37" fitToHeight="3" orientation="landscape" r:id="rId1"/>
  <customProperties>
    <customPr name="_pios_id" r:id="rId2"/>
  </customProperties>
  <ignoredErrors>
    <ignoredError sqref="B179 C227" formula="1"/>
  </ignoredError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0"/>
  <sheetViews>
    <sheetView workbookViewId="0"/>
  </sheetViews>
  <sheetFormatPr defaultRowHeight="14.4"/>
  <cols>
    <col min="1" max="1" width="5.21875" customWidth="1"/>
    <col min="2" max="2" width="1.5546875" customWidth="1"/>
    <col min="4" max="4" width="1.5546875" customWidth="1"/>
    <col min="6" max="6" width="1.5546875" customWidth="1"/>
    <col min="7" max="7" width="27" bestFit="1" customWidth="1"/>
    <col min="8" max="8" width="1.5546875" customWidth="1"/>
    <col min="9" max="9" width="15.5546875" bestFit="1" customWidth="1"/>
    <col min="10" max="10" width="1.5546875" customWidth="1"/>
    <col min="11" max="11" width="13.44140625" bestFit="1" customWidth="1"/>
    <col min="12" max="12" width="1.5546875" customWidth="1"/>
    <col min="13" max="13" width="13.5546875" customWidth="1"/>
    <col min="14" max="14" width="1.5546875" customWidth="1"/>
    <col min="16" max="16" width="1.5546875" customWidth="1"/>
    <col min="18" max="18" width="1.5546875" customWidth="1"/>
    <col min="20" max="20" width="1.5546875" customWidth="1"/>
    <col min="22" max="22" width="1.5546875" customWidth="1"/>
    <col min="24" max="24" width="1.5546875" customWidth="1"/>
    <col min="26" max="26" width="1.5546875" customWidth="1"/>
    <col min="28" max="28" width="1.5546875" customWidth="1"/>
    <col min="30" max="30" width="1.5546875" customWidth="1"/>
    <col min="32" max="32" width="1.5546875" customWidth="1"/>
    <col min="34" max="34" width="1.5546875" customWidth="1"/>
    <col min="36" max="36" width="1.5546875" customWidth="1"/>
    <col min="38" max="38" width="1.5546875" customWidth="1"/>
    <col min="40" max="40" width="1.5546875" customWidth="1"/>
  </cols>
  <sheetData>
    <row r="1" spans="1:15">
      <c r="A1" s="145" t="s">
        <v>11</v>
      </c>
      <c r="B1" s="145"/>
      <c r="C1" s="145"/>
      <c r="D1" s="145"/>
      <c r="E1" s="145"/>
      <c r="F1" s="145"/>
      <c r="G1" s="145"/>
      <c r="H1" s="145"/>
      <c r="I1" s="122"/>
      <c r="J1" s="122"/>
      <c r="K1" s="145"/>
      <c r="L1" s="91"/>
      <c r="M1" s="91" t="s">
        <v>202</v>
      </c>
      <c r="O1" s="91"/>
    </row>
    <row r="2" spans="1:15">
      <c r="A2" s="145" t="s">
        <v>12</v>
      </c>
      <c r="B2" s="145"/>
      <c r="C2" s="145"/>
      <c r="D2" s="145"/>
      <c r="E2" s="145"/>
      <c r="F2" s="145"/>
      <c r="G2" s="145"/>
      <c r="H2" s="145"/>
      <c r="I2" s="122"/>
      <c r="J2" s="122"/>
      <c r="K2" s="145"/>
      <c r="L2" s="146"/>
      <c r="M2" s="146" t="str">
        <f ca="1">RIGHT(CELL("filename",$A$1),LEN(CELL("filename",$A$1))-SEARCH("\Taxes",CELL("filename",$A$1),1))</f>
        <v>Taxes\[KAWC 2018 Rate Case - Income Tax Exhibit.xlsx]E-1.5 Summary of Income Tax Adj</v>
      </c>
      <c r="O2" s="146"/>
    </row>
    <row r="3" spans="1:15">
      <c r="A3" s="122"/>
      <c r="B3" s="122"/>
      <c r="C3" s="122"/>
      <c r="D3" s="122"/>
      <c r="E3" s="122"/>
      <c r="F3" s="122"/>
      <c r="G3" s="122"/>
      <c r="H3" s="122"/>
      <c r="I3" s="122"/>
      <c r="J3" s="122"/>
      <c r="K3" s="122"/>
      <c r="L3" s="122"/>
      <c r="M3" s="116"/>
    </row>
    <row r="4" spans="1:15">
      <c r="A4" s="406" t="str">
        <f>'Link In'!A1</f>
        <v>Kentucky American Water Company</v>
      </c>
      <c r="B4" s="406"/>
      <c r="C4" s="406"/>
      <c r="D4" s="406"/>
      <c r="E4" s="406"/>
      <c r="F4" s="406"/>
      <c r="G4" s="406"/>
      <c r="H4" s="406"/>
      <c r="I4" s="406"/>
      <c r="J4" s="406"/>
      <c r="K4" s="406"/>
      <c r="L4" s="122"/>
      <c r="M4" s="116"/>
    </row>
    <row r="5" spans="1:15">
      <c r="A5" s="406" t="str">
        <f>'Link In'!A3</f>
        <v>Case No. 2018-00358</v>
      </c>
      <c r="B5" s="406"/>
      <c r="C5" s="406"/>
      <c r="D5" s="406"/>
      <c r="E5" s="406"/>
      <c r="F5" s="406"/>
      <c r="G5" s="406"/>
      <c r="H5" s="406"/>
      <c r="I5" s="406"/>
      <c r="J5" s="406"/>
      <c r="K5" s="406"/>
      <c r="L5" s="134"/>
      <c r="M5" s="116"/>
    </row>
    <row r="6" spans="1:15">
      <c r="A6" s="406" t="str">
        <f>'Link In'!A34</f>
        <v>Base Year Adjustment Federal and State Taxes</v>
      </c>
      <c r="B6" s="406"/>
      <c r="C6" s="406"/>
      <c r="D6" s="406"/>
      <c r="E6" s="406"/>
      <c r="F6" s="406"/>
      <c r="G6" s="406"/>
      <c r="H6" s="406"/>
      <c r="I6" s="406"/>
      <c r="J6" s="406"/>
      <c r="K6" s="406"/>
      <c r="L6" s="134"/>
      <c r="M6" s="116"/>
    </row>
    <row r="7" spans="1:15">
      <c r="A7" s="406" t="s">
        <v>247</v>
      </c>
      <c r="B7" s="406"/>
      <c r="C7" s="406"/>
      <c r="D7" s="406"/>
      <c r="E7" s="406"/>
      <c r="F7" s="406"/>
      <c r="G7" s="406"/>
      <c r="H7" s="406"/>
      <c r="I7" s="406"/>
      <c r="J7" s="406"/>
      <c r="K7" s="406"/>
      <c r="L7" s="134"/>
      <c r="M7" s="116"/>
    </row>
    <row r="8" spans="1:15">
      <c r="A8" s="122"/>
      <c r="B8" s="122"/>
      <c r="C8" s="122"/>
      <c r="D8" s="122"/>
      <c r="E8" s="122"/>
      <c r="F8" s="122"/>
      <c r="G8" s="122"/>
      <c r="H8" s="122"/>
      <c r="I8" s="122"/>
      <c r="J8" s="122"/>
      <c r="K8" s="122"/>
      <c r="L8" s="134"/>
      <c r="M8" s="116"/>
    </row>
    <row r="9" spans="1:15">
      <c r="A9" s="299" t="str">
        <f>'Link In'!A28</f>
        <v>Witness Responsible:   John Wilde</v>
      </c>
      <c r="B9" s="122"/>
      <c r="C9" s="122"/>
      <c r="D9" s="122"/>
      <c r="E9" s="122"/>
      <c r="F9" s="122"/>
      <c r="G9" s="122"/>
      <c r="H9" s="122"/>
      <c r="I9" s="122"/>
      <c r="J9" s="122"/>
      <c r="K9" s="122"/>
      <c r="L9" s="134"/>
      <c r="M9" s="299" t="str">
        <f>'Link In'!A36</f>
        <v>W/P - 6-1</v>
      </c>
    </row>
    <row r="10" spans="1:15">
      <c r="A10" s="299" t="str">
        <f>'Link In'!A15</f>
        <v>Type of Filing: __X__ Original  _____ Updated  _____ Revised</v>
      </c>
      <c r="B10" s="122"/>
      <c r="C10" s="122"/>
      <c r="D10" s="122"/>
      <c r="E10" s="122"/>
      <c r="F10" s="122"/>
      <c r="G10" s="122"/>
      <c r="H10" s="122"/>
      <c r="I10" s="122"/>
      <c r="J10" s="122"/>
      <c r="K10" s="122"/>
      <c r="L10" s="122"/>
      <c r="M10" s="116"/>
    </row>
    <row r="13" spans="1:15">
      <c r="A13" s="120"/>
      <c r="B13" s="120"/>
      <c r="C13" s="120" t="s">
        <v>2</v>
      </c>
      <c r="D13" s="120"/>
      <c r="E13" s="120" t="s">
        <v>2</v>
      </c>
      <c r="F13" s="120"/>
      <c r="G13" s="120"/>
      <c r="H13" s="120"/>
      <c r="I13" s="120" t="s">
        <v>111</v>
      </c>
      <c r="J13" s="120"/>
      <c r="K13" s="120" t="s">
        <v>112</v>
      </c>
      <c r="L13" s="120"/>
      <c r="M13" s="120"/>
    </row>
    <row r="14" spans="1:15">
      <c r="A14" s="120"/>
      <c r="B14" s="120"/>
      <c r="C14" s="120" t="s">
        <v>113</v>
      </c>
      <c r="D14" s="120"/>
      <c r="E14" s="120" t="s">
        <v>114</v>
      </c>
      <c r="F14" s="120"/>
      <c r="G14" s="120"/>
      <c r="H14" s="120"/>
      <c r="I14" s="120" t="s">
        <v>113</v>
      </c>
      <c r="J14" s="120"/>
      <c r="K14" s="120" t="s">
        <v>114</v>
      </c>
      <c r="L14" s="120"/>
      <c r="M14" s="120"/>
    </row>
    <row r="15" spans="1:15">
      <c r="A15" s="119" t="s">
        <v>7</v>
      </c>
      <c r="B15" s="120"/>
      <c r="C15" s="119" t="s">
        <v>115</v>
      </c>
      <c r="D15" s="120"/>
      <c r="E15" s="119" t="s">
        <v>115</v>
      </c>
      <c r="F15" s="120"/>
      <c r="G15" s="119" t="s">
        <v>1</v>
      </c>
      <c r="H15" s="120"/>
      <c r="I15" s="119" t="s">
        <v>116</v>
      </c>
      <c r="J15" s="120"/>
      <c r="K15" s="119" t="s">
        <v>116</v>
      </c>
      <c r="L15" s="120"/>
      <c r="M15" s="119" t="s">
        <v>117</v>
      </c>
    </row>
    <row r="16" spans="1:15">
      <c r="A16" s="121">
        <v>1</v>
      </c>
      <c r="B16" s="116"/>
      <c r="C16" s="116"/>
      <c r="D16" s="116"/>
      <c r="E16" s="116"/>
      <c r="F16" s="116"/>
      <c r="G16" s="116"/>
      <c r="H16" s="116"/>
      <c r="I16" s="116"/>
      <c r="J16" s="116"/>
      <c r="K16" s="116"/>
      <c r="L16" s="116"/>
      <c r="M16" s="116"/>
    </row>
    <row r="17" spans="1:13">
      <c r="A17" s="121">
        <v>2</v>
      </c>
      <c r="B17" s="116"/>
      <c r="C17" s="116"/>
      <c r="D17" s="116"/>
      <c r="E17" s="116"/>
      <c r="F17" s="116"/>
      <c r="G17" s="116"/>
      <c r="H17" s="116"/>
      <c r="I17" s="116"/>
      <c r="J17" s="116"/>
      <c r="K17" s="116"/>
      <c r="L17" s="116"/>
      <c r="M17" s="116"/>
    </row>
    <row r="18" spans="1:13">
      <c r="A18" s="121">
        <v>3</v>
      </c>
      <c r="B18" s="116"/>
      <c r="C18" s="116"/>
      <c r="D18" s="116"/>
      <c r="E18" s="116"/>
      <c r="F18" s="116"/>
      <c r="G18" s="118" t="s">
        <v>118</v>
      </c>
      <c r="H18" s="116"/>
      <c r="I18" s="116"/>
      <c r="J18" s="116"/>
      <c r="K18" s="116"/>
      <c r="L18" s="116"/>
      <c r="M18" s="116"/>
    </row>
    <row r="19" spans="1:13">
      <c r="A19" s="121">
        <v>4</v>
      </c>
      <c r="B19" s="116"/>
      <c r="C19" s="116" t="s">
        <v>119</v>
      </c>
      <c r="D19" s="116"/>
      <c r="E19" s="116" t="s">
        <v>120</v>
      </c>
      <c r="F19" s="116"/>
      <c r="G19" s="116" t="s">
        <v>121</v>
      </c>
      <c r="H19" s="116"/>
      <c r="I19" s="184">
        <f>'E-1.2 State Inc Tax Base'!K58</f>
        <v>1059899.1223152166</v>
      </c>
      <c r="J19" s="184"/>
      <c r="K19" s="184">
        <f>'E-1.4 State Inc Tax Forecast'!G54</f>
        <v>757292.79315623327</v>
      </c>
      <c r="L19" s="184"/>
      <c r="M19" s="184">
        <f>SUM(K19-I19)</f>
        <v>-302606.32915898331</v>
      </c>
    </row>
    <row r="20" spans="1:13">
      <c r="A20" s="121">
        <v>5</v>
      </c>
      <c r="B20" s="116"/>
      <c r="C20" s="116" t="s">
        <v>119</v>
      </c>
      <c r="D20" s="116"/>
      <c r="E20" s="116" t="s">
        <v>120</v>
      </c>
      <c r="F20" s="116"/>
      <c r="G20" s="116" t="s">
        <v>122</v>
      </c>
      <c r="H20" s="116"/>
      <c r="I20" s="293">
        <f>'E-1.2 State Inc Tax Base'!K72</f>
        <v>-69784.018978518812</v>
      </c>
      <c r="J20" s="292"/>
      <c r="K20" s="293">
        <f>'E-1.4 State Inc Tax Forecast'!G66</f>
        <v>-257439.21891470245</v>
      </c>
      <c r="L20" s="292"/>
      <c r="M20" s="293">
        <f>SUM(K20-I20)</f>
        <v>-187655.19993618364</v>
      </c>
    </row>
    <row r="21" spans="1:13">
      <c r="A21" s="121">
        <v>6</v>
      </c>
      <c r="B21" s="116"/>
      <c r="C21" s="116"/>
      <c r="D21" s="116"/>
      <c r="E21" s="116"/>
      <c r="F21" s="116"/>
      <c r="G21" s="116"/>
      <c r="H21" s="116"/>
      <c r="I21" s="292"/>
      <c r="J21" s="292"/>
      <c r="K21" s="292"/>
      <c r="L21" s="292"/>
      <c r="M21" s="292"/>
    </row>
    <row r="22" spans="1:13">
      <c r="A22" s="121">
        <v>7</v>
      </c>
      <c r="B22" s="116"/>
      <c r="C22" s="116"/>
      <c r="D22" s="116"/>
      <c r="E22" s="116"/>
      <c r="F22" s="116"/>
      <c r="G22" s="116"/>
      <c r="H22" s="116"/>
      <c r="I22" s="292"/>
      <c r="J22" s="292"/>
      <c r="K22" s="292"/>
      <c r="L22" s="292"/>
      <c r="M22" s="292"/>
    </row>
    <row r="23" spans="1:13">
      <c r="A23" s="121">
        <v>8</v>
      </c>
      <c r="B23" s="116"/>
      <c r="C23" s="116"/>
      <c r="D23" s="116"/>
      <c r="E23" s="116"/>
      <c r="F23" s="116"/>
      <c r="G23" s="116" t="s">
        <v>123</v>
      </c>
      <c r="H23" s="116"/>
      <c r="I23" s="323">
        <f>SUM(I19:I20)</f>
        <v>990115.10333669779</v>
      </c>
      <c r="J23" s="184"/>
      <c r="K23" s="323">
        <f>SUM(K19:K20)</f>
        <v>499853.57424153085</v>
      </c>
      <c r="L23" s="184"/>
      <c r="M23" s="323">
        <f>SUM(M19:M20)</f>
        <v>-490261.52909516694</v>
      </c>
    </row>
    <row r="24" spans="1:13">
      <c r="A24" s="121">
        <v>9</v>
      </c>
      <c r="B24" s="116"/>
      <c r="C24" s="116"/>
      <c r="D24" s="116"/>
      <c r="E24" s="116"/>
      <c r="F24" s="116"/>
      <c r="G24" s="116"/>
      <c r="H24" s="116"/>
      <c r="I24" s="292"/>
      <c r="J24" s="292"/>
      <c r="K24" s="292"/>
      <c r="L24" s="292"/>
      <c r="M24" s="292"/>
    </row>
    <row r="25" spans="1:13">
      <c r="A25" s="121">
        <v>10</v>
      </c>
      <c r="B25" s="116"/>
      <c r="C25" s="116"/>
      <c r="D25" s="116"/>
      <c r="E25" s="116"/>
      <c r="F25" s="116"/>
      <c r="G25" s="116"/>
      <c r="H25" s="116"/>
      <c r="I25" s="292"/>
      <c r="J25" s="292"/>
      <c r="K25" s="292"/>
      <c r="L25" s="292"/>
      <c r="M25" s="292"/>
    </row>
    <row r="26" spans="1:13">
      <c r="A26" s="121">
        <v>11</v>
      </c>
      <c r="B26" s="116"/>
      <c r="C26" s="116"/>
      <c r="D26" s="116"/>
      <c r="E26" s="116"/>
      <c r="F26" s="116"/>
      <c r="G26" s="116"/>
      <c r="H26" s="116"/>
      <c r="I26" s="292"/>
      <c r="J26" s="292"/>
      <c r="K26" s="292"/>
      <c r="L26" s="292"/>
      <c r="M26" s="292"/>
    </row>
    <row r="27" spans="1:13">
      <c r="A27" s="121">
        <v>12</v>
      </c>
      <c r="B27" s="116"/>
      <c r="C27" s="116"/>
      <c r="D27" s="116"/>
      <c r="E27" s="116"/>
      <c r="F27" s="116"/>
      <c r="G27" s="118" t="s">
        <v>124</v>
      </c>
      <c r="H27" s="116"/>
      <c r="I27" s="292"/>
      <c r="J27" s="292"/>
      <c r="K27" s="292"/>
      <c r="L27" s="292"/>
      <c r="M27" s="292"/>
    </row>
    <row r="28" spans="1:13">
      <c r="A28" s="121">
        <v>13</v>
      </c>
      <c r="B28" s="116"/>
      <c r="C28" s="116" t="s">
        <v>125</v>
      </c>
      <c r="D28" s="116"/>
      <c r="E28" s="116" t="s">
        <v>126</v>
      </c>
      <c r="F28" s="116"/>
      <c r="G28" s="116" t="s">
        <v>121</v>
      </c>
      <c r="H28" s="116"/>
      <c r="I28" s="292">
        <f>'E-1.1 Federal Inc Tax Base'!K59</f>
        <v>4902251.8913184591</v>
      </c>
      <c r="J28" s="292"/>
      <c r="K28" s="292">
        <f>'E-1.3 Federal Inc Tax Forecast'!G55</f>
        <v>3606385.897622895</v>
      </c>
      <c r="L28" s="292"/>
      <c r="M28" s="292">
        <f>SUM(K28-I28)</f>
        <v>-1295865.9936955641</v>
      </c>
    </row>
    <row r="29" spans="1:13">
      <c r="A29" s="121">
        <v>14</v>
      </c>
      <c r="B29" s="116"/>
      <c r="C29" s="116" t="s">
        <v>125</v>
      </c>
      <c r="D29" s="116"/>
      <c r="E29" s="116" t="s">
        <v>126</v>
      </c>
      <c r="F29" s="116"/>
      <c r="G29" s="116" t="s">
        <v>122</v>
      </c>
      <c r="H29" s="116"/>
      <c r="I29" s="292">
        <f>'E-1.1 Federal Inc Tax Base'!K69</f>
        <v>-683336.75702428957</v>
      </c>
      <c r="J29" s="292"/>
      <c r="K29" s="292">
        <f>'E-1.3 Federal Inc Tax Forecast'!G63</f>
        <v>-1348242.0095715225</v>
      </c>
      <c r="L29" s="292"/>
      <c r="M29" s="292">
        <f>SUM(K29-I29)</f>
        <v>-664905.2525472329</v>
      </c>
    </row>
    <row r="30" spans="1:13">
      <c r="A30" s="121">
        <v>15</v>
      </c>
      <c r="B30" s="116"/>
      <c r="C30" s="116" t="s">
        <v>125</v>
      </c>
      <c r="D30" s="116"/>
      <c r="E30" s="116" t="s">
        <v>126</v>
      </c>
      <c r="F30" s="116"/>
      <c r="G30" s="116" t="s">
        <v>127</v>
      </c>
      <c r="H30" s="116"/>
      <c r="I30" s="292">
        <f>'E-1.1 Federal Inc Tax Base'!K72</f>
        <v>-65942.498360214944</v>
      </c>
      <c r="J30" s="292"/>
      <c r="K30" s="292">
        <f>'E-1.3 Federal Inc Tax Forecast'!G66</f>
        <v>-54622.220440881763</v>
      </c>
      <c r="L30" s="292"/>
      <c r="M30" s="292">
        <f>SUM(K30-I30)</f>
        <v>11320.277919333181</v>
      </c>
    </row>
    <row r="31" spans="1:13">
      <c r="A31" s="121">
        <v>16</v>
      </c>
      <c r="B31" s="116"/>
      <c r="C31" s="116" t="s">
        <v>125</v>
      </c>
      <c r="D31" s="116"/>
      <c r="E31" s="116" t="s">
        <v>126</v>
      </c>
      <c r="F31" s="116"/>
      <c r="G31" s="116" t="s">
        <v>128</v>
      </c>
      <c r="H31" s="116"/>
      <c r="I31" s="293">
        <f>'E-1.1 Federal Inc Tax Base'!K74</f>
        <v>-78492</v>
      </c>
      <c r="J31" s="292"/>
      <c r="K31" s="293">
        <f>'E-1.3 Federal Inc Tax Forecast'!G68</f>
        <v>-78492</v>
      </c>
      <c r="L31" s="292"/>
      <c r="M31" s="293">
        <f>SUM(K31-I31)</f>
        <v>0</v>
      </c>
    </row>
    <row r="32" spans="1:13">
      <c r="A32" s="121">
        <v>17</v>
      </c>
      <c r="B32" s="116"/>
      <c r="C32" s="116"/>
      <c r="D32" s="116"/>
      <c r="E32" s="116"/>
      <c r="F32" s="116"/>
      <c r="G32" s="116"/>
      <c r="H32" s="116"/>
      <c r="I32" s="292"/>
      <c r="J32" s="292"/>
      <c r="K32" s="292"/>
      <c r="L32" s="292"/>
      <c r="M32" s="292"/>
    </row>
    <row r="33" spans="1:13">
      <c r="A33" s="121">
        <v>18</v>
      </c>
      <c r="B33" s="116"/>
      <c r="C33" s="116"/>
      <c r="D33" s="116"/>
      <c r="E33" s="116"/>
      <c r="F33" s="116"/>
      <c r="G33" s="116"/>
      <c r="H33" s="116"/>
      <c r="I33" s="292"/>
      <c r="J33" s="292"/>
      <c r="K33" s="292"/>
      <c r="L33" s="292"/>
      <c r="M33" s="292"/>
    </row>
    <row r="34" spans="1:13">
      <c r="A34" s="121">
        <v>19</v>
      </c>
      <c r="B34" s="116"/>
      <c r="C34" s="116"/>
      <c r="D34" s="116"/>
      <c r="E34" s="116"/>
      <c r="F34" s="116"/>
      <c r="G34" s="116" t="s">
        <v>129</v>
      </c>
      <c r="H34" s="116"/>
      <c r="I34" s="323">
        <f>SUM(I28:I31)</f>
        <v>4074480.6359339543</v>
      </c>
      <c r="J34" s="184"/>
      <c r="K34" s="323">
        <f>SUM(K28:K31)</f>
        <v>2125029.6676104907</v>
      </c>
      <c r="L34" s="184"/>
      <c r="M34" s="323">
        <f>SUM(K34-I34)</f>
        <v>-1949450.9683234636</v>
      </c>
    </row>
    <row r="35" spans="1:13">
      <c r="A35" s="121">
        <v>20</v>
      </c>
      <c r="B35" s="116"/>
      <c r="C35" s="116"/>
      <c r="D35" s="116"/>
      <c r="E35" s="116"/>
      <c r="F35" s="116"/>
      <c r="G35" s="116"/>
      <c r="H35" s="116"/>
      <c r="I35" s="184"/>
      <c r="J35" s="184"/>
      <c r="K35" s="184"/>
      <c r="L35" s="184"/>
      <c r="M35" s="184"/>
    </row>
    <row r="36" spans="1:13">
      <c r="A36" s="121">
        <v>21</v>
      </c>
      <c r="B36" s="116"/>
      <c r="C36" s="116"/>
      <c r="D36" s="116"/>
      <c r="E36" s="116"/>
      <c r="F36" s="116"/>
      <c r="G36" s="116"/>
      <c r="H36" s="116"/>
      <c r="I36" s="116"/>
      <c r="J36" s="116"/>
      <c r="K36" s="116"/>
      <c r="L36" s="116"/>
      <c r="M36" s="116"/>
    </row>
    <row r="37" spans="1:13" ht="15" thickBot="1">
      <c r="A37" s="121">
        <v>22</v>
      </c>
      <c r="B37" s="116"/>
      <c r="C37" s="116"/>
      <c r="D37" s="116"/>
      <c r="E37" s="116"/>
      <c r="F37" s="116"/>
      <c r="G37" s="116" t="s">
        <v>130</v>
      </c>
      <c r="H37" s="116"/>
      <c r="I37" s="288">
        <f>SUM(I23+I34)</f>
        <v>5064595.7392706517</v>
      </c>
      <c r="J37" s="288"/>
      <c r="K37" s="288">
        <f>SUM(K23+K34)</f>
        <v>2624883.2418520218</v>
      </c>
      <c r="L37" s="288"/>
      <c r="M37" s="288">
        <f>SUM(K37-I37)</f>
        <v>-2439712.4974186299</v>
      </c>
    </row>
    <row r="38" spans="1:13" ht="15" thickTop="1">
      <c r="A38" s="121"/>
      <c r="B38" s="116"/>
      <c r="C38" s="116"/>
      <c r="D38" s="116"/>
      <c r="E38" s="116"/>
      <c r="F38" s="116"/>
      <c r="G38" s="116"/>
      <c r="H38" s="116"/>
      <c r="I38" s="116"/>
      <c r="J38" s="116"/>
      <c r="K38" s="116"/>
      <c r="L38" s="116"/>
      <c r="M38" s="259"/>
    </row>
    <row r="39" spans="1:13">
      <c r="A39" s="121"/>
      <c r="B39" s="116"/>
      <c r="C39" s="116"/>
      <c r="D39" s="116"/>
      <c r="E39" s="116"/>
      <c r="F39" s="116"/>
      <c r="G39" s="116"/>
      <c r="H39" s="116"/>
      <c r="I39" s="116"/>
      <c r="J39" s="116"/>
      <c r="K39" s="116"/>
      <c r="L39" s="116"/>
      <c r="M39" s="116"/>
    </row>
    <row r="40" spans="1:13">
      <c r="A40" s="121"/>
      <c r="B40" s="116"/>
      <c r="C40" s="116"/>
      <c r="D40" s="116"/>
      <c r="E40" s="116"/>
      <c r="F40" s="116"/>
      <c r="G40" s="116"/>
      <c r="H40" s="116"/>
      <c r="I40" s="116"/>
      <c r="J40" s="116"/>
      <c r="K40" s="116"/>
      <c r="L40" s="116"/>
      <c r="M40" s="116"/>
    </row>
    <row r="41" spans="1:13">
      <c r="A41" s="121"/>
      <c r="B41" s="116"/>
      <c r="C41" s="116"/>
      <c r="D41" s="116"/>
      <c r="E41" s="116"/>
      <c r="F41" s="116"/>
      <c r="G41" s="116"/>
      <c r="H41" s="116"/>
      <c r="I41" s="116"/>
      <c r="J41" s="116"/>
      <c r="K41" s="116"/>
      <c r="L41" s="116"/>
      <c r="M41" s="116"/>
    </row>
    <row r="42" spans="1:13">
      <c r="A42" s="121"/>
      <c r="B42" s="116"/>
      <c r="C42" s="116"/>
      <c r="D42" s="116"/>
      <c r="E42" s="116"/>
      <c r="F42" s="116"/>
      <c r="G42" s="116"/>
      <c r="H42" s="116"/>
      <c r="I42" s="116"/>
      <c r="J42" s="116"/>
      <c r="K42" s="116"/>
      <c r="L42" s="116"/>
      <c r="M42" s="116"/>
    </row>
    <row r="43" spans="1:13">
      <c r="A43" s="121"/>
      <c r="B43" s="116"/>
      <c r="C43" s="116"/>
      <c r="D43" s="116"/>
      <c r="E43" s="116"/>
      <c r="F43" s="116"/>
      <c r="G43" s="116"/>
      <c r="H43" s="116"/>
      <c r="I43" s="116"/>
      <c r="J43" s="116"/>
      <c r="K43" s="116"/>
      <c r="L43" s="116"/>
      <c r="M43" s="116"/>
    </row>
    <row r="44" spans="1:13">
      <c r="A44" s="121"/>
      <c r="B44" s="116"/>
      <c r="C44" s="116"/>
      <c r="D44" s="116"/>
      <c r="E44" s="116"/>
      <c r="F44" s="116"/>
      <c r="G44" s="116"/>
      <c r="H44" s="116"/>
      <c r="I44" s="116"/>
      <c r="J44" s="116"/>
      <c r="K44" s="116"/>
      <c r="L44" s="116"/>
      <c r="M44" s="116"/>
    </row>
    <row r="45" spans="1:13">
      <c r="A45" s="121"/>
      <c r="B45" s="116"/>
      <c r="C45" s="116"/>
      <c r="D45" s="116"/>
      <c r="E45" s="116"/>
      <c r="F45" s="116"/>
      <c r="G45" s="116"/>
      <c r="H45" s="116"/>
      <c r="I45" s="116"/>
      <c r="J45" s="116"/>
      <c r="K45" s="116"/>
      <c r="L45" s="116"/>
      <c r="M45" s="116"/>
    </row>
    <row r="46" spans="1:13">
      <c r="A46" s="121"/>
      <c r="B46" s="116"/>
      <c r="C46" s="116"/>
      <c r="D46" s="116"/>
      <c r="E46" s="116"/>
      <c r="F46" s="116"/>
      <c r="G46" s="116"/>
      <c r="H46" s="116"/>
      <c r="I46" s="116"/>
      <c r="J46" s="116"/>
      <c r="K46" s="116"/>
      <c r="L46" s="116"/>
      <c r="M46" s="116"/>
    </row>
    <row r="47" spans="1:13">
      <c r="A47" s="121"/>
    </row>
    <row r="48" spans="1:13">
      <c r="A48" s="121"/>
    </row>
    <row r="49" spans="1:1">
      <c r="A49" s="121"/>
    </row>
    <row r="50" spans="1:1">
      <c r="A50" s="121"/>
    </row>
  </sheetData>
  <mergeCells count="4">
    <mergeCell ref="A4:K4"/>
    <mergeCell ref="A5:K5"/>
    <mergeCell ref="A6:K6"/>
    <mergeCell ref="A7:K7"/>
  </mergeCells>
  <pageMargins left="0.7" right="0.7" top="0.75" bottom="0.75" header="0.3" footer="0.3"/>
  <pageSetup scale="82" orientation="portrait" verticalDpi="1200"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23"/>
  <sheetViews>
    <sheetView workbookViewId="0"/>
  </sheetViews>
  <sheetFormatPr defaultColWidth="9.109375" defaultRowHeight="14.4"/>
  <cols>
    <col min="1" max="1" width="3.5546875" style="303" customWidth="1"/>
    <col min="2" max="2" width="1.5546875" style="303" customWidth="1"/>
    <col min="3" max="3" width="13.44140625" style="303" bestFit="1" customWidth="1"/>
    <col min="4" max="4" width="1.5546875" style="303" customWidth="1"/>
    <col min="5" max="5" width="6.5546875" style="303" bestFit="1" customWidth="1"/>
    <col min="6" max="6" width="1.5546875" style="303" customWidth="1"/>
    <col min="7" max="7" width="13.44140625" style="303" bestFit="1" customWidth="1"/>
    <col min="8" max="8" width="1.5546875" style="303" customWidth="1"/>
    <col min="9" max="9" width="11.44140625" style="303" bestFit="1" customWidth="1"/>
    <col min="10" max="10" width="1.5546875" style="303" customWidth="1"/>
    <col min="11" max="11" width="20.109375" style="303" bestFit="1" customWidth="1"/>
    <col min="12" max="12" width="1.5546875" style="303" customWidth="1"/>
    <col min="13" max="13" width="9.109375" style="303"/>
    <col min="14" max="14" width="1.5546875" style="303" customWidth="1"/>
    <col min="15" max="15" width="9.109375" style="303"/>
    <col min="16" max="16" width="1.5546875" style="303" customWidth="1"/>
    <col min="17" max="17" width="9.109375" style="303"/>
    <col min="18" max="18" width="1.5546875" style="303" customWidth="1"/>
    <col min="19" max="19" width="9.109375" style="303"/>
    <col min="20" max="20" width="1.5546875" style="303" customWidth="1"/>
    <col min="21" max="21" width="9.109375" style="303"/>
    <col min="22" max="22" width="1.5546875" style="303" customWidth="1"/>
    <col min="23" max="23" width="9.109375" style="303"/>
    <col min="24" max="24" width="1.5546875" style="303" customWidth="1"/>
    <col min="25" max="25" width="9.109375" style="303"/>
    <col min="26" max="26" width="1.5546875" style="303" customWidth="1"/>
    <col min="27" max="27" width="9.109375" style="303"/>
    <col min="28" max="28" width="1.5546875" style="303" customWidth="1"/>
    <col min="29" max="29" width="9.44140625" style="303" customWidth="1"/>
    <col min="30" max="30" width="1.5546875" style="303" customWidth="1"/>
    <col min="31" max="31" width="9.109375" style="303"/>
    <col min="32" max="32" width="1.5546875" style="303" customWidth="1"/>
    <col min="33" max="33" width="9.109375" style="303"/>
    <col min="34" max="34" width="1.5546875" style="303" customWidth="1"/>
    <col min="35" max="35" width="9.109375" style="303"/>
    <col min="36" max="36" width="1.5546875" style="303" customWidth="1"/>
    <col min="37" max="37" width="9.109375" style="303"/>
    <col min="38" max="38" width="1.5546875" style="303" customWidth="1"/>
    <col min="39" max="39" width="9.109375" style="303"/>
    <col min="40" max="40" width="1.5546875" style="303" customWidth="1"/>
    <col min="41" max="16384" width="9.109375" style="303"/>
  </cols>
  <sheetData>
    <row r="1" spans="1:15">
      <c r="A1" s="145" t="s">
        <v>11</v>
      </c>
      <c r="B1" s="145"/>
      <c r="C1" s="145"/>
      <c r="D1" s="145"/>
      <c r="E1" s="145"/>
      <c r="F1" s="145"/>
      <c r="G1" s="145"/>
      <c r="H1" s="145"/>
      <c r="K1" s="145"/>
      <c r="L1" s="91"/>
      <c r="O1" s="91" t="s">
        <v>203</v>
      </c>
    </row>
    <row r="2" spans="1:15">
      <c r="A2" s="145" t="s">
        <v>12</v>
      </c>
      <c r="B2" s="145"/>
      <c r="C2" s="145"/>
      <c r="D2" s="145"/>
      <c r="E2" s="145"/>
      <c r="F2" s="145"/>
      <c r="G2" s="145"/>
      <c r="H2" s="145"/>
      <c r="K2" s="145"/>
      <c r="L2" s="146"/>
      <c r="O2" s="146" t="str">
        <f ca="1">RIGHT(CELL("filename",$A$1),LEN(CELL("filename",$A$1))-SEARCH("\Taxes",CELL("filename",$A$1),1))</f>
        <v>Taxes\[KAWC 2018 Rate Case - Income Tax Exhibit.xlsx]E-2 Jurisdictional Income Taxes</v>
      </c>
    </row>
    <row r="4" spans="1:15">
      <c r="A4" s="406" t="str">
        <f>'Link In'!A1</f>
        <v>Kentucky American Water Company</v>
      </c>
      <c r="B4" s="406"/>
      <c r="C4" s="406"/>
      <c r="D4" s="406"/>
      <c r="E4" s="406"/>
      <c r="F4" s="406"/>
      <c r="G4" s="406"/>
      <c r="H4" s="406"/>
      <c r="I4" s="406"/>
      <c r="J4" s="406"/>
      <c r="K4" s="406"/>
    </row>
    <row r="5" spans="1:15">
      <c r="A5" s="406" t="str">
        <f>'Link In'!A3</f>
        <v>Case No. 2018-00358</v>
      </c>
      <c r="B5" s="406"/>
      <c r="C5" s="406"/>
      <c r="D5" s="406"/>
      <c r="E5" s="406"/>
      <c r="F5" s="406"/>
      <c r="G5" s="406"/>
      <c r="H5" s="406"/>
      <c r="I5" s="406"/>
      <c r="J5" s="406"/>
      <c r="K5" s="406"/>
      <c r="L5" s="134"/>
    </row>
    <row r="6" spans="1:15">
      <c r="A6" s="406" t="s">
        <v>301</v>
      </c>
      <c r="B6" s="406"/>
      <c r="C6" s="406"/>
      <c r="D6" s="406"/>
      <c r="E6" s="406"/>
      <c r="F6" s="406"/>
      <c r="G6" s="406"/>
      <c r="H6" s="406"/>
      <c r="I6" s="406"/>
      <c r="J6" s="406"/>
      <c r="K6" s="406"/>
      <c r="L6" s="134"/>
    </row>
    <row r="7" spans="1:15">
      <c r="A7" s="406" t="s">
        <v>247</v>
      </c>
      <c r="B7" s="406"/>
      <c r="C7" s="406"/>
      <c r="D7" s="406"/>
      <c r="E7" s="406"/>
      <c r="F7" s="406"/>
      <c r="G7" s="406"/>
      <c r="H7" s="406"/>
      <c r="I7" s="406"/>
      <c r="J7" s="406"/>
      <c r="K7" s="406"/>
      <c r="L7" s="134"/>
    </row>
    <row r="8" spans="1:15">
      <c r="L8" s="134"/>
    </row>
    <row r="9" spans="1:15">
      <c r="A9" s="299" t="str">
        <f>'Link In'!A28</f>
        <v>Witness Responsible:   John Wilde</v>
      </c>
      <c r="K9" s="299" t="str">
        <f>'Link In'!A36</f>
        <v>W/P - 6-1</v>
      </c>
      <c r="L9" s="134"/>
    </row>
    <row r="10" spans="1:15">
      <c r="A10" s="299" t="str">
        <f>'Link In'!A15</f>
        <v>Type of Filing: __X__ Original  _____ Updated  _____ Revised</v>
      </c>
    </row>
    <row r="13" spans="1:15">
      <c r="A13" s="224"/>
      <c r="B13" s="224"/>
      <c r="C13" s="224"/>
      <c r="D13" s="224"/>
      <c r="E13" s="224" t="s">
        <v>24</v>
      </c>
      <c r="F13" s="224"/>
      <c r="G13" s="224" t="s">
        <v>25</v>
      </c>
      <c r="H13" s="224"/>
      <c r="I13" s="224"/>
      <c r="J13" s="224"/>
      <c r="K13" s="224" t="s">
        <v>26</v>
      </c>
    </row>
    <row r="14" spans="1:15">
      <c r="A14" s="324" t="s">
        <v>7</v>
      </c>
      <c r="B14" s="224"/>
      <c r="C14" s="324" t="s">
        <v>27</v>
      </c>
      <c r="D14" s="224"/>
      <c r="E14" s="324" t="s">
        <v>28</v>
      </c>
      <c r="F14" s="224"/>
      <c r="G14" s="324" t="s">
        <v>29</v>
      </c>
      <c r="H14" s="224"/>
      <c r="I14" s="324" t="s">
        <v>30</v>
      </c>
      <c r="J14" s="224"/>
      <c r="K14" s="324" t="s">
        <v>31</v>
      </c>
    </row>
    <row r="15" spans="1:15">
      <c r="A15" s="303">
        <v>1</v>
      </c>
    </row>
    <row r="16" spans="1:15">
      <c r="A16" s="303">
        <v>2</v>
      </c>
    </row>
    <row r="17" spans="1:11">
      <c r="A17" s="303">
        <v>3</v>
      </c>
    </row>
    <row r="18" spans="1:11">
      <c r="A18" s="303">
        <v>4</v>
      </c>
      <c r="C18" s="406" t="s">
        <v>32</v>
      </c>
      <c r="D18" s="406"/>
      <c r="E18" s="406"/>
      <c r="F18" s="406"/>
      <c r="G18" s="406"/>
      <c r="H18" s="406"/>
      <c r="I18" s="406"/>
      <c r="J18" s="406"/>
      <c r="K18" s="406"/>
    </row>
    <row r="19" spans="1:11">
      <c r="A19" s="303">
        <v>5</v>
      </c>
      <c r="C19" s="299"/>
    </row>
    <row r="20" spans="1:11">
      <c r="A20" s="303">
        <v>6</v>
      </c>
      <c r="C20" s="406" t="s">
        <v>33</v>
      </c>
      <c r="D20" s="406"/>
      <c r="E20" s="406"/>
      <c r="F20" s="406"/>
      <c r="G20" s="406"/>
      <c r="H20" s="406"/>
      <c r="I20" s="406"/>
      <c r="J20" s="406"/>
      <c r="K20" s="406"/>
    </row>
    <row r="21" spans="1:11">
      <c r="A21" s="303">
        <v>7</v>
      </c>
      <c r="D21" s="299"/>
      <c r="E21" s="299"/>
      <c r="F21" s="299"/>
      <c r="G21" s="299"/>
      <c r="H21" s="299"/>
      <c r="I21" s="299"/>
      <c r="J21" s="299"/>
      <c r="K21" s="299"/>
    </row>
    <row r="22" spans="1:11">
      <c r="A22" s="303">
        <v>8</v>
      </c>
      <c r="D22" s="145"/>
      <c r="E22" s="145"/>
      <c r="F22" s="145"/>
      <c r="G22" s="145"/>
      <c r="H22" s="145"/>
      <c r="I22" s="145"/>
      <c r="J22" s="145"/>
      <c r="K22" s="145"/>
    </row>
    <row r="23" spans="1:11">
      <c r="A23" s="303">
        <v>9</v>
      </c>
    </row>
  </sheetData>
  <mergeCells count="6">
    <mergeCell ref="A4:K4"/>
    <mergeCell ref="A5:K5"/>
    <mergeCell ref="C20:K20"/>
    <mergeCell ref="A6:K6"/>
    <mergeCell ref="A7:K7"/>
    <mergeCell ref="C18:K18"/>
  </mergeCells>
  <pageMargins left="0.7" right="0.7" top="0.75" bottom="0.75" header="0.3" footer="0.3"/>
  <pageSetup scale="92" orientation="portrait" verticalDpi="12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33"/>
  <sheetViews>
    <sheetView workbookViewId="0"/>
  </sheetViews>
  <sheetFormatPr defaultColWidth="9.109375" defaultRowHeight="14.4"/>
  <cols>
    <col min="1" max="1" width="8.44140625" style="122" customWidth="1"/>
    <col min="2" max="2" width="1.5546875" style="122" customWidth="1"/>
    <col min="3" max="3" width="27" style="122" customWidth="1"/>
    <col min="4" max="4" width="1.5546875" style="122" customWidth="1"/>
    <col min="5" max="5" width="16.5546875" style="122" customWidth="1"/>
    <col min="6" max="6" width="1.5546875" style="122" customWidth="1"/>
    <col min="7" max="7" width="20.5546875" style="122" customWidth="1"/>
    <col min="8" max="8" width="1.5546875" style="122" customWidth="1"/>
    <col min="9" max="9" width="16.5546875" style="122" customWidth="1"/>
    <col min="10" max="10" width="1.5546875" style="122" customWidth="1"/>
    <col min="11" max="11" width="14" style="122" customWidth="1"/>
    <col min="12" max="12" width="1.5546875" style="122" customWidth="1"/>
    <col min="13" max="13" width="9.109375" style="122"/>
    <col min="14" max="14" width="1.5546875" style="122" customWidth="1"/>
    <col min="15" max="15" width="9.109375" style="122"/>
    <col min="16" max="16" width="1.5546875" style="122" customWidth="1"/>
    <col min="17" max="17" width="9.109375" style="122"/>
    <col min="18" max="18" width="1.5546875" style="122" customWidth="1"/>
    <col min="19" max="19" width="9.109375" style="122"/>
    <col min="20" max="20" width="1.5546875" style="122" customWidth="1"/>
    <col min="21" max="21" width="9.109375" style="122"/>
    <col min="22" max="22" width="1.5546875" style="122" customWidth="1"/>
    <col min="23" max="23" width="9.109375" style="122"/>
    <col min="24" max="24" width="1.5546875" style="122" customWidth="1"/>
    <col min="25" max="25" width="9.109375" style="122"/>
    <col min="26" max="26" width="1.5546875" style="122" customWidth="1"/>
    <col min="27" max="27" width="9.109375" style="122"/>
    <col min="28" max="28" width="1.5546875" style="122" customWidth="1"/>
    <col min="29" max="29" width="9.109375" style="122"/>
    <col min="30" max="30" width="1.5546875" style="122" customWidth="1"/>
    <col min="31" max="31" width="9.109375" style="122"/>
    <col min="32" max="32" width="1.5546875" style="122" customWidth="1"/>
    <col min="33" max="33" width="9.109375" style="122"/>
    <col min="34" max="34" width="1.5546875" style="122" customWidth="1"/>
    <col min="35" max="35" width="9.109375" style="122"/>
    <col min="36" max="36" width="1.5546875" style="122" customWidth="1"/>
    <col min="37" max="16384" width="9.109375" style="122"/>
  </cols>
  <sheetData>
    <row r="1" spans="1:17" ht="60.75" customHeight="1">
      <c r="A1" s="136" t="s">
        <v>20</v>
      </c>
      <c r="B1" s="137"/>
      <c r="C1" s="136" t="s">
        <v>1</v>
      </c>
      <c r="D1" s="137"/>
      <c r="E1" s="136" t="s">
        <v>19</v>
      </c>
      <c r="F1" s="138"/>
      <c r="G1" s="139"/>
      <c r="H1" s="138"/>
      <c r="I1" s="140"/>
      <c r="J1" s="141"/>
      <c r="K1" s="140"/>
    </row>
    <row r="2" spans="1:17">
      <c r="A2" s="80"/>
      <c r="G2" s="381"/>
      <c r="H2" s="303"/>
      <c r="I2" s="303"/>
      <c r="J2" s="303"/>
      <c r="K2" s="303"/>
    </row>
    <row r="3" spans="1:17" ht="15" thickBot="1">
      <c r="A3" s="80"/>
      <c r="G3" s="142"/>
      <c r="H3" s="303"/>
      <c r="I3" s="142"/>
      <c r="J3" s="303"/>
      <c r="K3" s="142"/>
    </row>
    <row r="4" spans="1:17" ht="15" thickTop="1">
      <c r="A4" s="80"/>
      <c r="G4" s="303"/>
      <c r="H4" s="303"/>
      <c r="I4" s="303"/>
      <c r="J4" s="303"/>
      <c r="K4" s="303"/>
    </row>
    <row r="5" spans="1:17">
      <c r="A5" s="80"/>
      <c r="G5" s="303"/>
      <c r="H5" s="303"/>
      <c r="I5" s="303"/>
      <c r="J5" s="303"/>
      <c r="K5" s="303"/>
    </row>
    <row r="6" spans="1:17">
      <c r="A6" s="80"/>
      <c r="G6" s="303"/>
      <c r="H6" s="303"/>
      <c r="I6" s="303"/>
      <c r="J6" s="303"/>
      <c r="K6" s="303"/>
    </row>
    <row r="7" spans="1:17" ht="28.8">
      <c r="A7" s="143" t="s">
        <v>10</v>
      </c>
      <c r="G7" s="136" t="s">
        <v>283</v>
      </c>
      <c r="H7" s="303"/>
      <c r="I7" s="136" t="s">
        <v>284</v>
      </c>
      <c r="J7" s="303"/>
      <c r="K7" s="294" t="s">
        <v>117</v>
      </c>
    </row>
    <row r="8" spans="1:17">
      <c r="A8" s="144"/>
      <c r="B8" s="80"/>
      <c r="C8" s="220" t="s">
        <v>184</v>
      </c>
      <c r="D8" s="80"/>
      <c r="E8" s="80"/>
      <c r="F8" s="80"/>
      <c r="G8" s="371">
        <f>'Summary by Account'!J14</f>
        <v>757292.79315623327</v>
      </c>
      <c r="H8" s="335"/>
      <c r="I8" s="371">
        <f>'Summary by Account'!E14</f>
        <v>1059899.1223152166</v>
      </c>
      <c r="J8" s="371"/>
      <c r="K8" s="371">
        <f>G8-I8</f>
        <v>-302606.32915898331</v>
      </c>
      <c r="Q8" s="380"/>
    </row>
    <row r="9" spans="1:17">
      <c r="A9" s="144"/>
      <c r="B9" s="80"/>
      <c r="C9" s="220" t="s">
        <v>185</v>
      </c>
      <c r="D9" s="80"/>
      <c r="E9" s="80"/>
      <c r="F9" s="80"/>
      <c r="G9" s="371">
        <f>'Summary by Account'!J15</f>
        <v>-257439.21891470245</v>
      </c>
      <c r="H9" s="335"/>
      <c r="I9" s="371">
        <f>'Summary by Account'!E15</f>
        <v>-69784.018978518812</v>
      </c>
      <c r="J9" s="371"/>
      <c r="K9" s="371">
        <f>G9-I9</f>
        <v>-187655.19993618364</v>
      </c>
      <c r="Q9" s="380"/>
    </row>
    <row r="10" spans="1:17">
      <c r="A10" s="144"/>
      <c r="B10" s="80"/>
      <c r="C10" s="220"/>
      <c r="D10" s="80"/>
      <c r="E10" s="80"/>
      <c r="F10" s="80"/>
      <c r="G10" s="371"/>
      <c r="H10" s="335"/>
      <c r="I10" s="371"/>
      <c r="J10" s="371"/>
      <c r="K10" s="371"/>
    </row>
    <row r="11" spans="1:17">
      <c r="A11" s="144"/>
      <c r="B11" s="80"/>
      <c r="C11" s="220" t="s">
        <v>186</v>
      </c>
      <c r="D11" s="80"/>
      <c r="E11" s="80"/>
      <c r="F11" s="80"/>
      <c r="G11" s="371">
        <f>'Summary by Account'!J17</f>
        <v>3606385.897622895</v>
      </c>
      <c r="H11" s="335"/>
      <c r="I11" s="371">
        <f>'Summary by Account'!E17</f>
        <v>4902251.8913184591</v>
      </c>
      <c r="J11" s="371"/>
      <c r="K11" s="371">
        <f>G11-I11</f>
        <v>-1295865.9936955641</v>
      </c>
      <c r="Q11" s="380"/>
    </row>
    <row r="12" spans="1:17">
      <c r="A12" s="144"/>
      <c r="B12" s="80"/>
      <c r="C12" s="220" t="s">
        <v>187</v>
      </c>
      <c r="D12" s="80"/>
      <c r="E12" s="80"/>
      <c r="F12" s="80"/>
      <c r="G12" s="371">
        <f>'Summary by Account'!J18</f>
        <v>-1402864.2300124043</v>
      </c>
      <c r="H12" s="335"/>
      <c r="I12" s="371">
        <f>'Summary by Account'!E18</f>
        <v>-749279.25538450456</v>
      </c>
      <c r="J12" s="371"/>
      <c r="K12" s="371">
        <f>G12-I12</f>
        <v>-653584.9746278997</v>
      </c>
      <c r="Q12" s="380"/>
    </row>
    <row r="13" spans="1:17">
      <c r="A13" s="144"/>
      <c r="B13" s="80"/>
      <c r="C13" s="220"/>
      <c r="D13" s="80"/>
      <c r="E13" s="80"/>
      <c r="F13" s="80"/>
      <c r="G13" s="371"/>
      <c r="H13" s="335"/>
      <c r="I13" s="371"/>
      <c r="J13" s="371"/>
      <c r="K13" s="371"/>
      <c r="Q13" s="380"/>
    </row>
    <row r="14" spans="1:17">
      <c r="A14" s="144"/>
      <c r="B14" s="80"/>
      <c r="C14" s="220" t="s">
        <v>183</v>
      </c>
      <c r="D14" s="80"/>
      <c r="E14" s="80"/>
      <c r="F14" s="80"/>
      <c r="G14" s="371">
        <f>'Summary by Account'!J20</f>
        <v>-78492</v>
      </c>
      <c r="H14" s="335"/>
      <c r="I14" s="371">
        <f>'Summary by Account'!E20</f>
        <v>-78492</v>
      </c>
      <c r="J14" s="371"/>
      <c r="K14" s="371">
        <f>G14-I14</f>
        <v>0</v>
      </c>
      <c r="Q14" s="380"/>
    </row>
    <row r="15" spans="1:17">
      <c r="A15" s="144"/>
      <c r="B15" s="80"/>
      <c r="C15" s="172"/>
      <c r="D15" s="80"/>
      <c r="E15" s="80"/>
      <c r="F15" s="80"/>
      <c r="G15" s="371"/>
      <c r="H15" s="335"/>
      <c r="I15" s="335"/>
      <c r="J15" s="335"/>
      <c r="K15" s="335"/>
      <c r="Q15" s="380"/>
    </row>
    <row r="16" spans="1:17">
      <c r="A16" s="144"/>
      <c r="B16" s="80"/>
      <c r="C16" s="222" t="s">
        <v>188</v>
      </c>
      <c r="D16" s="80"/>
      <c r="E16" s="80"/>
      <c r="F16" s="80"/>
      <c r="G16" s="371"/>
      <c r="H16" s="335"/>
      <c r="I16" s="335"/>
      <c r="J16" s="335"/>
      <c r="K16" s="335"/>
      <c r="Q16" s="380"/>
    </row>
    <row r="17" spans="1:17">
      <c r="A17" s="144"/>
      <c r="B17" s="80"/>
      <c r="C17" s="221" t="s">
        <v>189</v>
      </c>
      <c r="D17" s="80"/>
      <c r="E17" s="80"/>
      <c r="F17" s="80"/>
      <c r="G17" s="371">
        <f>'Summary by Account'!J25</f>
        <v>-54622.220440881763</v>
      </c>
      <c r="H17" s="335"/>
      <c r="I17" s="335">
        <f>'Summary by Account'!E25</f>
        <v>-65942.498360214944</v>
      </c>
      <c r="J17" s="335"/>
      <c r="K17" s="371">
        <f t="shared" ref="K17:K18" si="0">G17-I17</f>
        <v>11320.277919333181</v>
      </c>
      <c r="Q17" s="380"/>
    </row>
    <row r="18" spans="1:17">
      <c r="A18" s="80"/>
      <c r="B18" s="80"/>
      <c r="C18" s="221" t="s">
        <v>190</v>
      </c>
      <c r="D18" s="80"/>
      <c r="E18" s="80"/>
      <c r="F18" s="80"/>
      <c r="G18" s="371">
        <f>'Summary by Account'!J26</f>
        <v>-1348242.0095715225</v>
      </c>
      <c r="H18" s="335"/>
      <c r="I18" s="335">
        <f>'Summary by Account'!E26</f>
        <v>-683336.75702428957</v>
      </c>
      <c r="J18" s="335"/>
      <c r="K18" s="371">
        <f t="shared" si="0"/>
        <v>-664905.2525472329</v>
      </c>
      <c r="Q18" s="380"/>
    </row>
    <row r="19" spans="1:17">
      <c r="A19" s="80"/>
      <c r="B19" s="80"/>
      <c r="C19" s="221" t="s">
        <v>191</v>
      </c>
      <c r="D19" s="80"/>
      <c r="E19" s="80"/>
      <c r="F19" s="80"/>
      <c r="G19" s="371"/>
      <c r="H19" s="335"/>
      <c r="I19" s="335"/>
      <c r="J19" s="335"/>
      <c r="K19" s="335"/>
      <c r="Q19" s="380"/>
    </row>
    <row r="20" spans="1:17" s="223" customFormat="1">
      <c r="A20" s="224"/>
      <c r="B20" s="224"/>
      <c r="C20" s="221"/>
      <c r="D20" s="224"/>
      <c r="E20" s="224"/>
      <c r="F20" s="224"/>
      <c r="G20" s="371"/>
      <c r="H20" s="335"/>
      <c r="I20" s="335"/>
      <c r="J20" s="335"/>
      <c r="K20" s="335"/>
      <c r="Q20" s="380"/>
    </row>
    <row r="21" spans="1:17" s="223" customFormat="1">
      <c r="A21" s="224"/>
      <c r="B21" s="224"/>
      <c r="C21" s="221" t="s">
        <v>192</v>
      </c>
      <c r="D21" s="224"/>
      <c r="E21" s="224"/>
      <c r="F21" s="224"/>
      <c r="G21" s="371">
        <f>'Summary by Account'!J29</f>
        <v>-62374.111252666509</v>
      </c>
      <c r="H21" s="335"/>
      <c r="I21" s="335">
        <f>'Summary by Account'!E29</f>
        <v>-62971</v>
      </c>
      <c r="J21" s="335"/>
      <c r="K21" s="371">
        <f t="shared" ref="K21:K22" si="1">G21-I21</f>
        <v>596.88874733349076</v>
      </c>
      <c r="Q21" s="380"/>
    </row>
    <row r="22" spans="1:17" s="223" customFormat="1">
      <c r="A22" s="224"/>
      <c r="B22" s="224"/>
      <c r="C22" s="221" t="s">
        <v>193</v>
      </c>
      <c r="D22" s="224"/>
      <c r="E22" s="224"/>
      <c r="F22" s="224"/>
      <c r="G22" s="371">
        <f>'Summary by Account'!J30</f>
        <v>-195065.10766203594</v>
      </c>
      <c r="H22" s="335"/>
      <c r="I22" s="335">
        <f>'Summary by Account'!E30</f>
        <v>-6813.0189785188122</v>
      </c>
      <c r="J22" s="335"/>
      <c r="K22" s="371">
        <f t="shared" si="1"/>
        <v>-188252.08868351713</v>
      </c>
      <c r="Q22" s="380"/>
    </row>
    <row r="23" spans="1:17" s="223" customFormat="1">
      <c r="A23" s="224"/>
      <c r="B23" s="224"/>
      <c r="C23" s="221"/>
      <c r="D23" s="224"/>
      <c r="E23" s="224"/>
      <c r="F23" s="224"/>
      <c r="G23" s="371"/>
      <c r="H23" s="335"/>
      <c r="I23" s="335"/>
      <c r="J23" s="335"/>
      <c r="K23" s="335"/>
    </row>
    <row r="24" spans="1:17" s="223" customFormat="1">
      <c r="A24" s="224"/>
      <c r="B24" s="224"/>
      <c r="C24" s="221"/>
      <c r="D24" s="224"/>
      <c r="E24" s="224"/>
      <c r="F24" s="224"/>
      <c r="G24" s="224"/>
    </row>
    <row r="25" spans="1:17" s="223" customFormat="1">
      <c r="A25" s="224"/>
      <c r="B25" s="224"/>
      <c r="C25" s="220"/>
      <c r="D25" s="224"/>
      <c r="E25" s="224"/>
      <c r="F25" s="224"/>
      <c r="G25" s="224"/>
    </row>
    <row r="26" spans="1:17" s="223" customFormat="1">
      <c r="A26" s="224"/>
      <c r="B26" s="224"/>
      <c r="C26" s="221"/>
      <c r="D26" s="224"/>
      <c r="E26" s="224"/>
      <c r="F26" s="224"/>
      <c r="G26" s="224"/>
    </row>
    <row r="27" spans="1:17">
      <c r="A27" s="143" t="s">
        <v>13</v>
      </c>
      <c r="B27" s="80"/>
      <c r="C27" s="80"/>
      <c r="D27" s="80"/>
      <c r="E27" s="80"/>
      <c r="F27" s="80"/>
      <c r="G27" s="80"/>
    </row>
    <row r="29" spans="1:17">
      <c r="A29" s="122" t="str">
        <f>'Link In'!A36</f>
        <v>W/P - 6-1</v>
      </c>
    </row>
    <row r="30" spans="1:17">
      <c r="A30" s="122" t="str">
        <f ca="1">Exhibit!M2</f>
        <v>Taxes\[KAWC 2018 Rate Case - Income Tax Exhibit.xlsx]Exhibit</v>
      </c>
    </row>
    <row r="32" spans="1:17">
      <c r="A32" s="289" t="s">
        <v>196</v>
      </c>
      <c r="B32" s="289"/>
      <c r="C32" s="289"/>
      <c r="D32" s="289"/>
      <c r="E32" s="289" t="str">
        <f>'E-1.4 State Inc Tax Forecast'!K1</f>
        <v>SCHEDULE E-1.4</v>
      </c>
      <c r="F32" s="289"/>
      <c r="G32" s="289" t="str">
        <f ca="1">'E-1.4 State Inc Tax Forecast'!K2</f>
        <v>Taxes\[KAWC 2018 Rate Case - Income Tax Exhibit.xlsx]E-1.4 State Inc Tax Forecast</v>
      </c>
    </row>
    <row r="33" spans="1:7">
      <c r="A33" s="289" t="s">
        <v>197</v>
      </c>
      <c r="B33" s="289"/>
      <c r="C33" s="289"/>
      <c r="D33" s="289"/>
      <c r="E33" s="289" t="str">
        <f>'E-1.3 Federal Inc Tax Forecast'!K1</f>
        <v>SCHEDULE E-1.3</v>
      </c>
      <c r="F33" s="289"/>
      <c r="G33" s="289" t="str">
        <f ca="1">'E-1.3 Federal Inc Tax Forecast'!K2</f>
        <v>Taxes\[KAWC 2018 Rate Case - Income Tax Exhibit.xlsx]E-1.3 Federal Inc Tax Forecast</v>
      </c>
    </row>
  </sheetData>
  <printOptions horizontalCentered="1" verticalCentered="1"/>
  <pageMargins left="0.75" right="0.75" top="0.75" bottom="0.75" header="0.3" footer="0.3"/>
  <pageSetup scale="92"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26"/>
  <sheetViews>
    <sheetView tabSelected="1" workbookViewId="0"/>
  </sheetViews>
  <sheetFormatPr defaultColWidth="9.109375" defaultRowHeight="14.4"/>
  <cols>
    <col min="1" max="1" width="5.5546875" style="122" customWidth="1"/>
    <col min="2" max="2" width="1.5546875" style="122" customWidth="1"/>
    <col min="3" max="3" width="39.44140625" style="122" customWidth="1"/>
    <col min="4" max="4" width="1.5546875" style="122" customWidth="1"/>
    <col min="5" max="5" width="15" style="122" bestFit="1" customWidth="1"/>
    <col min="6" max="6" width="1.5546875" style="122" customWidth="1"/>
    <col min="7" max="7" width="14" style="122" customWidth="1"/>
    <col min="8" max="8" width="1.5546875" style="122" customWidth="1"/>
    <col min="9" max="9" width="12.5546875" style="122" customWidth="1"/>
    <col min="10" max="10" width="1.5546875" style="122" customWidth="1"/>
    <col min="11" max="11" width="19.44140625" style="122" bestFit="1" customWidth="1"/>
    <col min="12" max="12" width="1.5546875" style="122" customWidth="1"/>
    <col min="13" max="13" width="22.21875" style="122" customWidth="1"/>
    <col min="14" max="14" width="1.5546875" style="122" customWidth="1"/>
    <col min="15" max="15" width="9.109375" style="122"/>
    <col min="16" max="16" width="1.5546875" style="122" customWidth="1"/>
    <col min="17" max="17" width="9.109375" style="122"/>
    <col min="18" max="18" width="1.5546875" style="122" customWidth="1"/>
    <col min="19" max="19" width="9.109375" style="122"/>
    <col min="20" max="20" width="1.5546875" style="122" customWidth="1"/>
    <col min="21" max="21" width="9.109375" style="122"/>
    <col min="22" max="22" width="1.5546875" style="122" customWidth="1"/>
    <col min="23" max="23" width="9.109375" style="122"/>
    <col min="24" max="24" width="1.5546875" style="122" customWidth="1"/>
    <col min="25" max="25" width="9.109375" style="122"/>
    <col min="26" max="26" width="1.5546875" style="122" customWidth="1"/>
    <col min="27" max="27" width="9.109375" style="122"/>
    <col min="28" max="28" width="1.5546875" style="122" customWidth="1"/>
    <col min="29" max="29" width="9.109375" style="122"/>
    <col min="30" max="30" width="1.5546875" style="122" customWidth="1"/>
    <col min="31" max="31" width="9.109375" style="122"/>
    <col min="32" max="32" width="1.5546875" style="122" customWidth="1"/>
    <col min="33" max="33" width="9.109375" style="122"/>
    <col min="34" max="34" width="1.5546875" style="122" customWidth="1"/>
    <col min="35" max="35" width="9.109375" style="122"/>
    <col min="36" max="36" width="1.5546875" style="122" customWidth="1"/>
    <col min="37" max="37" width="9.109375" style="122"/>
    <col min="38" max="38" width="1.5546875" style="122" customWidth="1"/>
    <col min="39" max="39" width="9.109375" style="122"/>
    <col min="40" max="40" width="1.5546875" style="122" customWidth="1"/>
    <col min="41" max="41" width="9.109375" style="122"/>
    <col min="42" max="42" width="1.5546875" style="122" customWidth="1"/>
    <col min="43" max="16384" width="9.109375" style="122"/>
  </cols>
  <sheetData>
    <row r="1" spans="1:13">
      <c r="A1" s="145" t="s">
        <v>11</v>
      </c>
      <c r="B1" s="145"/>
      <c r="C1" s="145"/>
      <c r="D1" s="145"/>
      <c r="E1" s="145"/>
      <c r="F1" s="145"/>
      <c r="G1" s="145"/>
      <c r="H1" s="145"/>
      <c r="I1" s="145"/>
      <c r="J1" s="145"/>
      <c r="L1" s="134"/>
      <c r="M1" s="91" t="str">
        <f>'Link In'!A36</f>
        <v>W/P - 6-1</v>
      </c>
    </row>
    <row r="2" spans="1:13">
      <c r="A2" s="145" t="s">
        <v>12</v>
      </c>
      <c r="B2" s="145"/>
      <c r="C2" s="145"/>
      <c r="D2" s="145"/>
      <c r="E2" s="145"/>
      <c r="F2" s="145"/>
      <c r="G2" s="145"/>
      <c r="H2" s="145"/>
      <c r="I2" s="145"/>
      <c r="J2" s="145"/>
      <c r="L2" s="134"/>
      <c r="M2" s="146" t="str">
        <f ca="1">RIGHT(CELL("filename",$A$1),LEN(CELL("filename",$A$1))-SEARCH("\Taxes",CELL("filename",$A$1),1))</f>
        <v>Taxes\[KAWC 2018 Rate Case - Income Tax Exhibit.xlsx]Exhibit</v>
      </c>
    </row>
    <row r="4" spans="1:13">
      <c r="A4" s="406" t="str">
        <f>'Link In'!A1</f>
        <v>Kentucky American Water Company</v>
      </c>
      <c r="B4" s="406"/>
      <c r="C4" s="406"/>
      <c r="D4" s="406"/>
      <c r="E4" s="406"/>
      <c r="F4" s="406"/>
      <c r="G4" s="406"/>
      <c r="H4" s="406"/>
      <c r="I4" s="406"/>
      <c r="J4" s="406"/>
      <c r="K4" s="406"/>
      <c r="L4" s="406"/>
      <c r="M4" s="406"/>
    </row>
    <row r="5" spans="1:13">
      <c r="A5" s="406" t="str">
        <f>'Link In'!A3</f>
        <v>Case No. 2018-00358</v>
      </c>
      <c r="B5" s="406"/>
      <c r="C5" s="406"/>
      <c r="D5" s="406"/>
      <c r="E5" s="406"/>
      <c r="F5" s="406"/>
      <c r="G5" s="406"/>
      <c r="H5" s="406"/>
      <c r="I5" s="406"/>
      <c r="J5" s="406"/>
      <c r="K5" s="406"/>
      <c r="L5" s="406"/>
      <c r="M5" s="406"/>
    </row>
    <row r="6" spans="1:13">
      <c r="A6" s="406" t="str">
        <f>'Link In'!A34</f>
        <v>Base Year Adjustment Federal and State Taxes</v>
      </c>
      <c r="B6" s="406"/>
      <c r="C6" s="406"/>
      <c r="D6" s="406"/>
      <c r="E6" s="406"/>
      <c r="F6" s="406"/>
      <c r="G6" s="406"/>
      <c r="H6" s="406"/>
      <c r="I6" s="406"/>
      <c r="J6" s="406"/>
      <c r="K6" s="406"/>
      <c r="L6" s="406"/>
      <c r="M6" s="406"/>
    </row>
    <row r="7" spans="1:13">
      <c r="A7" s="407" t="str">
        <f>'Link In'!A6</f>
        <v>For the 12 Months Ending June 30, 2020</v>
      </c>
      <c r="B7" s="406"/>
      <c r="C7" s="406"/>
      <c r="D7" s="406"/>
      <c r="E7" s="406"/>
      <c r="F7" s="406"/>
      <c r="G7" s="406"/>
      <c r="H7" s="406"/>
      <c r="I7" s="406"/>
      <c r="J7" s="406"/>
      <c r="K7" s="406"/>
      <c r="L7" s="406"/>
      <c r="M7" s="406"/>
    </row>
    <row r="9" spans="1:13">
      <c r="A9" s="87" t="str">
        <f>'Link In'!A28</f>
        <v>Witness Responsible:   John Wilde</v>
      </c>
      <c r="B9" s="87"/>
      <c r="D9" s="87"/>
      <c r="E9" s="87"/>
      <c r="F9" s="87"/>
      <c r="G9" s="87"/>
      <c r="H9" s="87"/>
      <c r="I9" s="87"/>
      <c r="J9" s="87"/>
    </row>
    <row r="10" spans="1:13">
      <c r="A10" s="87" t="str">
        <f>'Link In'!A15</f>
        <v>Type of Filing: __X__ Original  _____ Updated  _____ Revised</v>
      </c>
      <c r="B10" s="87"/>
      <c r="D10" s="87"/>
      <c r="E10" s="87"/>
      <c r="F10" s="87"/>
      <c r="G10" s="87"/>
      <c r="H10" s="87"/>
      <c r="I10" s="87"/>
      <c r="J10" s="87"/>
    </row>
    <row r="11" spans="1:13">
      <c r="A11" s="87"/>
      <c r="B11" s="87"/>
      <c r="D11" s="87"/>
      <c r="E11" s="87"/>
      <c r="F11" s="87"/>
      <c r="G11" s="87"/>
      <c r="H11" s="87"/>
      <c r="I11" s="87"/>
      <c r="J11" s="87"/>
    </row>
    <row r="13" spans="1:13" ht="28.8">
      <c r="A13" s="136" t="s">
        <v>0</v>
      </c>
      <c r="B13" s="147"/>
      <c r="C13" s="136" t="s">
        <v>1</v>
      </c>
      <c r="D13" s="147"/>
      <c r="E13" s="136" t="str">
        <f>'Link In'!B7</f>
        <v>Base Year at 2/28/19</v>
      </c>
      <c r="F13" s="147"/>
      <c r="G13" s="136" t="s">
        <v>3</v>
      </c>
      <c r="H13" s="148"/>
      <c r="I13" s="136" t="s">
        <v>2</v>
      </c>
      <c r="J13" s="147"/>
      <c r="K13" s="136" t="str">
        <f>'Link In'!B9</f>
        <v>Forecast Year at 6/30/2020</v>
      </c>
      <c r="M13" s="136" t="s">
        <v>2</v>
      </c>
    </row>
    <row r="15" spans="1:13">
      <c r="A15" s="80">
        <v>1</v>
      </c>
      <c r="C15" s="87" t="str">
        <f>'Link In'!A6</f>
        <v>For the 12 Months Ending June 30, 2020</v>
      </c>
      <c r="E15" s="149">
        <f>'Summary by Account'!E22</f>
        <v>5064595.7392706517</v>
      </c>
      <c r="F15" s="150"/>
      <c r="G15" s="150"/>
      <c r="H15" s="150"/>
      <c r="I15" s="150"/>
      <c r="J15" s="150"/>
      <c r="K15" s="150">
        <f>E15</f>
        <v>5064595.7392706517</v>
      </c>
    </row>
    <row r="16" spans="1:13">
      <c r="A16" s="80">
        <v>2</v>
      </c>
      <c r="E16" s="151"/>
      <c r="F16" s="151"/>
      <c r="G16" s="151"/>
      <c r="H16" s="151"/>
      <c r="I16" s="151"/>
      <c r="J16" s="151"/>
      <c r="K16" s="151"/>
    </row>
    <row r="17" spans="1:13">
      <c r="A17" s="80">
        <v>3</v>
      </c>
      <c r="E17" s="151"/>
      <c r="F17" s="151"/>
      <c r="G17" s="151"/>
      <c r="H17" s="151"/>
      <c r="I17" s="151"/>
      <c r="J17" s="151"/>
      <c r="K17" s="151"/>
    </row>
    <row r="18" spans="1:13">
      <c r="A18" s="80">
        <v>4</v>
      </c>
      <c r="C18" s="87" t="s">
        <v>4</v>
      </c>
      <c r="E18" s="151"/>
      <c r="F18" s="151"/>
      <c r="G18" s="151"/>
      <c r="H18" s="151"/>
      <c r="I18" s="151"/>
      <c r="J18" s="151"/>
      <c r="K18" s="151"/>
    </row>
    <row r="19" spans="1:13" ht="12.75" customHeight="1">
      <c r="A19" s="80">
        <v>5</v>
      </c>
      <c r="C19" s="152" t="s">
        <v>304</v>
      </c>
      <c r="E19" s="151"/>
      <c r="F19" s="151"/>
      <c r="G19" s="153">
        <f>'Summary by Account'!G22</f>
        <v>-2439712.4974186309</v>
      </c>
      <c r="H19" s="151"/>
      <c r="I19" s="154" t="str">
        <f>'Link In'!A37</f>
        <v>Schedule D-2.3</v>
      </c>
      <c r="J19" s="151"/>
      <c r="K19" s="151"/>
    </row>
    <row r="20" spans="1:13">
      <c r="A20" s="80">
        <v>6</v>
      </c>
      <c r="C20" s="152"/>
      <c r="E20" s="151"/>
      <c r="F20" s="151"/>
      <c r="G20" s="153"/>
      <c r="H20" s="151"/>
      <c r="I20" s="154"/>
      <c r="J20" s="151"/>
      <c r="K20" s="151"/>
    </row>
    <row r="21" spans="1:13">
      <c r="A21" s="80">
        <v>7</v>
      </c>
      <c r="C21" s="152"/>
      <c r="E21" s="151"/>
      <c r="F21" s="151"/>
      <c r="G21" s="153"/>
      <c r="H21" s="151"/>
      <c r="I21" s="154"/>
      <c r="J21" s="151"/>
      <c r="K21" s="151"/>
    </row>
    <row r="22" spans="1:13">
      <c r="A22" s="80">
        <v>8</v>
      </c>
      <c r="C22" s="87" t="s">
        <v>5</v>
      </c>
      <c r="E22" s="151"/>
      <c r="F22" s="151"/>
      <c r="G22" s="325">
        <f>SUM(G19:G21)</f>
        <v>-2439712.4974186309</v>
      </c>
      <c r="H22" s="156"/>
      <c r="I22" s="156"/>
      <c r="J22" s="156"/>
      <c r="K22" s="325">
        <f>G22</f>
        <v>-2439712.4974186309</v>
      </c>
      <c r="M22" s="123" t="str">
        <f>'Link In'!A37</f>
        <v>Schedule D-2.3</v>
      </c>
    </row>
    <row r="23" spans="1:13">
      <c r="A23" s="80">
        <v>9</v>
      </c>
      <c r="E23" s="151"/>
      <c r="F23" s="151"/>
      <c r="G23" s="151"/>
      <c r="H23" s="151"/>
      <c r="I23" s="151"/>
      <c r="J23" s="151"/>
      <c r="K23" s="151"/>
    </row>
    <row r="24" spans="1:13">
      <c r="A24" s="80">
        <v>10</v>
      </c>
      <c r="E24" s="151"/>
      <c r="F24" s="151"/>
      <c r="G24" s="151"/>
      <c r="H24" s="151"/>
      <c r="I24" s="151"/>
      <c r="J24" s="151"/>
      <c r="K24" s="151"/>
    </row>
    <row r="25" spans="1:13" ht="15" thickBot="1">
      <c r="A25" s="80">
        <v>11</v>
      </c>
      <c r="C25" s="87" t="s">
        <v>276</v>
      </c>
      <c r="E25" s="151"/>
      <c r="F25" s="151"/>
      <c r="G25" s="151"/>
      <c r="H25" s="151"/>
      <c r="I25" s="151"/>
      <c r="J25" s="151"/>
      <c r="K25" s="155">
        <f>K15+K22</f>
        <v>2624883.2418520208</v>
      </c>
    </row>
    <row r="26" spans="1:13" ht="15" thickTop="1">
      <c r="A26" s="80">
        <v>12</v>
      </c>
    </row>
  </sheetData>
  <mergeCells count="4">
    <mergeCell ref="A4:M4"/>
    <mergeCell ref="A5:M5"/>
    <mergeCell ref="A6:M6"/>
    <mergeCell ref="A7:M7"/>
  </mergeCells>
  <printOptions horizontalCentered="1"/>
  <pageMargins left="0.75" right="0.75" top="0.75" bottom="0.75" header="0.3" footer="0.3"/>
  <pageSetup scale="88" orientation="landscape" r:id="rId1"/>
  <headerFooter>
    <oddHeader xml:space="preserve">&amp;R&amp;10
</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3"/>
  <sheetViews>
    <sheetView workbookViewId="0"/>
  </sheetViews>
  <sheetFormatPr defaultColWidth="9.109375" defaultRowHeight="14.4"/>
  <cols>
    <col min="1" max="1" width="11.5546875" style="122" customWidth="1"/>
    <col min="2" max="2" width="1.5546875" style="122" customWidth="1"/>
    <col min="3" max="3" width="28.44140625" style="122" bestFit="1" customWidth="1"/>
    <col min="4" max="4" width="1.5546875" style="122" customWidth="1"/>
    <col min="5" max="5" width="17" style="122" customWidth="1"/>
    <col min="6" max="6" width="1.5546875" style="122" customWidth="1"/>
    <col min="7" max="7" width="14.5546875" style="122" customWidth="1"/>
    <col min="8" max="8" width="1.5546875" style="122" customWidth="1"/>
    <col min="9" max="9" width="14.5546875" style="122" hidden="1" customWidth="1"/>
    <col min="10" max="10" width="19.44140625" style="122" customWidth="1"/>
    <col min="11" max="11" width="2.44140625" style="170" customWidth="1"/>
    <col min="12" max="12" width="19.44140625" style="303" customWidth="1"/>
    <col min="13" max="13" width="3.44140625" style="170" customWidth="1"/>
    <col min="14" max="14" width="19.44140625" style="303" customWidth="1"/>
    <col min="15" max="15" width="1.5546875" style="122" customWidth="1"/>
    <col min="16" max="16" width="9.109375" style="122"/>
    <col min="17" max="17" width="1.5546875" style="122" customWidth="1"/>
    <col min="18" max="18" width="9.109375" style="122"/>
    <col min="19" max="19" width="1.5546875" style="122" customWidth="1"/>
    <col min="20" max="20" width="9.109375" style="122"/>
    <col min="21" max="21" width="1.5546875" style="122" customWidth="1"/>
    <col min="22" max="22" width="9.109375" style="122"/>
    <col min="23" max="23" width="1.5546875" style="122" customWidth="1"/>
    <col min="24" max="24" width="9.109375" style="122"/>
    <col min="25" max="25" width="1.5546875" style="122" customWidth="1"/>
    <col min="26" max="26" width="9.109375" style="122"/>
    <col min="27" max="27" width="1.5546875" style="122" customWidth="1"/>
    <col min="28" max="28" width="9.109375" style="122"/>
    <col min="29" max="29" width="1.5546875" style="122" customWidth="1"/>
    <col min="30" max="30" width="9.109375" style="122"/>
    <col min="31" max="31" width="1.5546875" style="122" customWidth="1"/>
    <col min="32" max="32" width="9.109375" style="122"/>
    <col min="33" max="33" width="1.5546875" style="122" customWidth="1"/>
    <col min="34" max="34" width="9.109375" style="122"/>
    <col min="35" max="35" width="1.5546875" style="122" customWidth="1"/>
    <col min="36" max="36" width="9.109375" style="122"/>
    <col min="37" max="37" width="1.5546875" style="122" customWidth="1"/>
    <col min="38" max="38" width="9.109375" style="122"/>
    <col min="39" max="39" width="1.5546875" style="122" customWidth="1"/>
    <col min="40" max="40" width="9.109375" style="122"/>
    <col min="41" max="41" width="1.5546875" style="122" customWidth="1"/>
    <col min="42" max="42" width="9.109375" style="122"/>
    <col min="43" max="43" width="1.5546875" style="122" customWidth="1"/>
    <col min="44" max="44" width="9.109375" style="122"/>
    <col min="45" max="45" width="1.5546875" style="122" customWidth="1"/>
    <col min="46" max="16384" width="9.109375" style="122"/>
  </cols>
  <sheetData>
    <row r="1" spans="1:16">
      <c r="A1" s="145" t="s">
        <v>11</v>
      </c>
      <c r="B1" s="145"/>
      <c r="C1" s="145"/>
      <c r="D1" s="145"/>
      <c r="E1" s="145"/>
      <c r="F1" s="145"/>
      <c r="G1" s="145"/>
      <c r="H1" s="145"/>
      <c r="I1" s="145"/>
      <c r="K1" s="107"/>
      <c r="L1" s="91"/>
      <c r="M1" s="107"/>
      <c r="N1" s="91" t="str">
        <f>'Link In'!A36</f>
        <v>W/P - 6-1</v>
      </c>
      <c r="O1" s="134"/>
    </row>
    <row r="2" spans="1:16">
      <c r="A2" s="145" t="s">
        <v>12</v>
      </c>
      <c r="B2" s="145"/>
      <c r="C2" s="145"/>
      <c r="D2" s="145"/>
      <c r="E2" s="145"/>
      <c r="F2" s="145"/>
      <c r="G2" s="145"/>
      <c r="H2" s="145"/>
      <c r="I2" s="145"/>
      <c r="K2" s="89"/>
      <c r="L2" s="146"/>
      <c r="M2" s="89"/>
      <c r="N2" s="146" t="str">
        <f ca="1">RIGHT(CELL("filename",$A$1),LEN(CELL("filename",$A$1))-SEARCH("\Taxes",CELL("filename",$A$1),1))</f>
        <v>Taxes\[KAWC 2018 Rate Case - Income Tax Exhibit.xlsx]Summary by Account</v>
      </c>
      <c r="O2" s="134"/>
    </row>
    <row r="4" spans="1:16">
      <c r="A4" s="406" t="str">
        <f>'Link In'!A1</f>
        <v>Kentucky American Water Company</v>
      </c>
      <c r="B4" s="406"/>
      <c r="C4" s="406"/>
      <c r="D4" s="406"/>
      <c r="E4" s="406"/>
      <c r="F4" s="406"/>
      <c r="G4" s="406"/>
      <c r="H4" s="406"/>
      <c r="I4" s="406"/>
      <c r="J4" s="406"/>
      <c r="K4" s="406"/>
      <c r="L4" s="406"/>
      <c r="M4" s="406"/>
      <c r="N4" s="406"/>
      <c r="O4" s="406"/>
    </row>
    <row r="5" spans="1:16">
      <c r="A5" s="406" t="str">
        <f>'Link In'!A3</f>
        <v>Case No. 2018-00358</v>
      </c>
      <c r="B5" s="406"/>
      <c r="C5" s="406"/>
      <c r="D5" s="406"/>
      <c r="E5" s="406"/>
      <c r="F5" s="406"/>
      <c r="G5" s="406"/>
      <c r="H5" s="406"/>
      <c r="I5" s="406"/>
      <c r="J5" s="406"/>
      <c r="K5" s="406"/>
      <c r="L5" s="406"/>
      <c r="M5" s="406"/>
      <c r="N5" s="406"/>
      <c r="O5" s="406"/>
    </row>
    <row r="6" spans="1:16">
      <c r="A6" s="406" t="str">
        <f>'Link In'!A34</f>
        <v>Base Year Adjustment Federal and State Taxes</v>
      </c>
      <c r="B6" s="406"/>
      <c r="C6" s="406"/>
      <c r="D6" s="406"/>
      <c r="E6" s="406"/>
      <c r="F6" s="406"/>
      <c r="G6" s="406"/>
      <c r="H6" s="406"/>
      <c r="I6" s="406"/>
      <c r="J6" s="406"/>
      <c r="K6" s="406"/>
      <c r="L6" s="406"/>
      <c r="M6" s="406"/>
      <c r="N6" s="406"/>
      <c r="O6" s="406"/>
    </row>
    <row r="7" spans="1:16">
      <c r="A7" s="406" t="s">
        <v>247</v>
      </c>
      <c r="B7" s="406"/>
      <c r="C7" s="406"/>
      <c r="D7" s="406"/>
      <c r="E7" s="406"/>
      <c r="F7" s="406"/>
      <c r="G7" s="406"/>
      <c r="H7" s="406"/>
      <c r="I7" s="406"/>
      <c r="J7" s="406"/>
      <c r="K7" s="406"/>
      <c r="L7" s="406"/>
      <c r="M7" s="406"/>
      <c r="N7" s="406"/>
      <c r="O7" s="406"/>
      <c r="P7" s="350"/>
    </row>
    <row r="9" spans="1:16">
      <c r="A9" s="87" t="str">
        <f>'Link In'!A28</f>
        <v>Witness Responsible:   John Wilde</v>
      </c>
    </row>
    <row r="10" spans="1:16">
      <c r="A10" s="87" t="str">
        <f>'Link In'!A15</f>
        <v>Type of Filing: __X__ Original  _____ Updated  _____ Revised</v>
      </c>
    </row>
    <row r="11" spans="1:16">
      <c r="A11" s="87"/>
      <c r="J11" s="365" t="s">
        <v>112</v>
      </c>
      <c r="K11" s="94"/>
      <c r="L11" s="365"/>
      <c r="M11" s="94"/>
      <c r="N11" s="365" t="s">
        <v>281</v>
      </c>
    </row>
    <row r="12" spans="1:16" ht="54.75" customHeight="1">
      <c r="A12" s="119" t="s">
        <v>22</v>
      </c>
      <c r="C12" s="119" t="s">
        <v>23</v>
      </c>
      <c r="E12" s="136" t="str">
        <f>'Link In'!A7</f>
        <v>Base Year for the 12 Months Ended February 28, 2019</v>
      </c>
      <c r="G12" s="136" t="s">
        <v>3</v>
      </c>
      <c r="H12" s="148"/>
      <c r="I12" s="136" t="s">
        <v>2</v>
      </c>
      <c r="J12" s="136" t="str">
        <f>'Link In'!A9</f>
        <v>Forecast Year for the 12 Months Ended June 30, 2020</v>
      </c>
      <c r="K12" s="148"/>
      <c r="L12" s="140" t="s">
        <v>21</v>
      </c>
      <c r="M12" s="373"/>
      <c r="N12" s="136" t="str">
        <f>J12</f>
        <v>Forecast Year for the 12 Months Ended June 30, 2020</v>
      </c>
    </row>
    <row r="14" spans="1:16">
      <c r="C14" s="289" t="s">
        <v>184</v>
      </c>
      <c r="E14" s="160">
        <f>+'E-1.2 State Inc Tax Base'!G56</f>
        <v>1059899.1223152166</v>
      </c>
      <c r="F14" s="156"/>
      <c r="G14" s="156">
        <f>J14-E14</f>
        <v>-302606.32915898331</v>
      </c>
      <c r="H14" s="156"/>
      <c r="I14" s="157"/>
      <c r="J14" s="158">
        <f>+'E-1.4 State Inc Tax Forecast'!G54</f>
        <v>757292.79315623327</v>
      </c>
      <c r="K14" s="372"/>
      <c r="L14" s="159">
        <f t="shared" ref="L14:L20" si="0">N14-J14</f>
        <v>980882.29570349434</v>
      </c>
      <c r="M14" s="153"/>
      <c r="N14" s="156">
        <f>'E-1.4 State Inc Tax Forecast'!K54</f>
        <v>1738175.0888597276</v>
      </c>
    </row>
    <row r="15" spans="1:16">
      <c r="C15" s="289" t="s">
        <v>185</v>
      </c>
      <c r="E15" s="159">
        <f>+'E-1.2 State Inc Tax Base'!G72</f>
        <v>-69784.018978518812</v>
      </c>
      <c r="F15" s="159"/>
      <c r="G15" s="159">
        <f>J15-E15</f>
        <v>-187655.19993618364</v>
      </c>
      <c r="H15" s="159"/>
      <c r="I15" s="159"/>
      <c r="J15" s="159">
        <f>'E-1.4 State Inc Tax Forecast'!G66</f>
        <v>-257439.21891470245</v>
      </c>
      <c r="K15" s="153"/>
      <c r="L15" s="159">
        <f t="shared" si="0"/>
        <v>0</v>
      </c>
      <c r="M15" s="153"/>
      <c r="N15" s="159">
        <f>'E-1.4 State Inc Tax Forecast'!K66</f>
        <v>-257439.21891470245</v>
      </c>
    </row>
    <row r="16" spans="1:16">
      <c r="C16" s="289"/>
      <c r="E16" s="159"/>
      <c r="F16" s="159"/>
      <c r="G16" s="159"/>
      <c r="H16" s="159"/>
      <c r="I16" s="159"/>
      <c r="J16" s="159"/>
      <c r="K16" s="153"/>
      <c r="L16" s="159">
        <f t="shared" si="0"/>
        <v>0</v>
      </c>
      <c r="M16" s="153"/>
      <c r="N16" s="159"/>
    </row>
    <row r="17" spans="3:14">
      <c r="C17" s="289" t="s">
        <v>186</v>
      </c>
      <c r="E17" s="159">
        <f>+'E-1.1 Federal Inc Tax Base'!G59</f>
        <v>4902251.8913184591</v>
      </c>
      <c r="F17" s="159"/>
      <c r="G17" s="159">
        <f>J17-E17</f>
        <v>-1295865.9936955641</v>
      </c>
      <c r="H17" s="159"/>
      <c r="I17" s="159"/>
      <c r="J17" s="159">
        <f>+'E-1.3 Federal Inc Tax Forecast'!G55</f>
        <v>3606385.897622895</v>
      </c>
      <c r="K17" s="153"/>
      <c r="L17" s="159">
        <f t="shared" si="0"/>
        <v>3947566.7164669498</v>
      </c>
      <c r="M17" s="153"/>
      <c r="N17" s="158">
        <f>'E-1.3 Federal Inc Tax Forecast'!K55</f>
        <v>7553952.6140898447</v>
      </c>
    </row>
    <row r="18" spans="3:14">
      <c r="C18" s="289" t="s">
        <v>187</v>
      </c>
      <c r="E18" s="159">
        <f>+'E-1.1 Federal Inc Tax Base'!G75-'E-1.1 Federal Inc Tax Base'!G74</f>
        <v>-749279.25538450456</v>
      </c>
      <c r="F18" s="159"/>
      <c r="G18" s="159">
        <f>J18-E18</f>
        <v>-653584.9746278997</v>
      </c>
      <c r="H18" s="159"/>
      <c r="I18" s="159"/>
      <c r="J18" s="159">
        <f>'E-1.3 Federal Inc Tax Forecast'!G69-'E-1.3 Federal Inc Tax Forecast'!G68</f>
        <v>-1402864.2300124043</v>
      </c>
      <c r="K18" s="153"/>
      <c r="L18" s="159">
        <f t="shared" si="0"/>
        <v>0</v>
      </c>
      <c r="M18" s="153"/>
      <c r="N18" s="159">
        <f>'E-1.3 Federal Inc Tax Forecast'!K69-'E-1.3 Federal Inc Tax Forecast'!K68</f>
        <v>-1402864.2300124043</v>
      </c>
    </row>
    <row r="19" spans="3:14">
      <c r="C19" s="289"/>
      <c r="E19" s="159"/>
      <c r="F19" s="159"/>
      <c r="G19" s="159"/>
      <c r="H19" s="159"/>
      <c r="I19" s="159"/>
      <c r="J19" s="159"/>
      <c r="K19" s="153"/>
      <c r="L19" s="159">
        <f t="shared" si="0"/>
        <v>0</v>
      </c>
      <c r="M19" s="153"/>
      <c r="N19" s="159"/>
    </row>
    <row r="20" spans="3:14">
      <c r="C20" s="289" t="s">
        <v>183</v>
      </c>
      <c r="E20" s="159">
        <f>'Link In'!B163</f>
        <v>-78492</v>
      </c>
      <c r="F20" s="159"/>
      <c r="G20" s="159">
        <f>J20-E20</f>
        <v>0</v>
      </c>
      <c r="H20" s="159"/>
      <c r="I20" s="159"/>
      <c r="J20" s="159">
        <f>'E-1.3 Federal Inc Tax Forecast'!G68</f>
        <v>-78492</v>
      </c>
      <c r="K20" s="153"/>
      <c r="L20" s="159">
        <f t="shared" si="0"/>
        <v>0</v>
      </c>
      <c r="M20" s="153"/>
      <c r="N20" s="159">
        <f>'E-1.3 Federal Inc Tax Forecast'!K68</f>
        <v>-78492</v>
      </c>
    </row>
    <row r="21" spans="3:14">
      <c r="C21" s="265"/>
      <c r="E21" s="369"/>
      <c r="F21" s="159"/>
      <c r="G21" s="369"/>
      <c r="H21" s="151"/>
      <c r="I21" s="154"/>
      <c r="J21" s="369"/>
      <c r="K21" s="153"/>
      <c r="L21" s="153"/>
      <c r="M21" s="153"/>
      <c r="N21" s="153"/>
    </row>
    <row r="22" spans="3:14" s="299" customFormat="1" ht="15" thickBot="1">
      <c r="C22" s="346"/>
      <c r="E22" s="374">
        <f>SUM(E14:E21)</f>
        <v>5064595.7392706517</v>
      </c>
      <c r="F22" s="375"/>
      <c r="G22" s="374">
        <f>SUM(G14:G21)</f>
        <v>-2439712.4974186309</v>
      </c>
      <c r="H22" s="376"/>
      <c r="I22" s="377"/>
      <c r="J22" s="374">
        <f>SUM(J14:J21)</f>
        <v>2624883.2418520213</v>
      </c>
      <c r="K22" s="378"/>
      <c r="L22" s="374">
        <f>SUM(L14:L21)</f>
        <v>4928449.0121704442</v>
      </c>
      <c r="M22" s="378"/>
      <c r="N22" s="374">
        <f>SUM(N14:N21)</f>
        <v>7553332.254022466</v>
      </c>
    </row>
    <row r="23" spans="3:14" s="303" customFormat="1" ht="15" thickTop="1">
      <c r="C23" s="265"/>
      <c r="E23" s="159"/>
      <c r="F23" s="159"/>
      <c r="G23" s="159"/>
      <c r="H23" s="151"/>
      <c r="I23" s="154"/>
      <c r="J23" s="159"/>
      <c r="K23" s="153"/>
      <c r="L23" s="159"/>
      <c r="M23" s="153"/>
      <c r="N23" s="159"/>
    </row>
    <row r="24" spans="3:14">
      <c r="C24" s="291" t="s">
        <v>188</v>
      </c>
      <c r="E24" s="159"/>
      <c r="F24" s="151"/>
      <c r="G24" s="159"/>
      <c r="H24" s="151"/>
      <c r="I24" s="154"/>
      <c r="J24" s="159"/>
      <c r="K24" s="153"/>
      <c r="L24" s="159"/>
      <c r="M24" s="153"/>
      <c r="N24" s="159"/>
    </row>
    <row r="25" spans="3:14">
      <c r="C25" s="290" t="s">
        <v>189</v>
      </c>
      <c r="E25" s="159">
        <f>'E-1.1 Federal Inc Tax Base'!G72</f>
        <v>-65942.498360214944</v>
      </c>
      <c r="F25" s="151"/>
      <c r="G25" s="159">
        <f t="shared" ref="G25:G26" si="1">J25-E25</f>
        <v>11320.277919333181</v>
      </c>
      <c r="H25" s="151"/>
      <c r="I25" s="154"/>
      <c r="J25" s="159">
        <f>'E-1.3 Federal Inc Tax Forecast'!$G$66</f>
        <v>-54622.220440881763</v>
      </c>
      <c r="K25" s="153"/>
      <c r="L25" s="159">
        <f>N25-J25</f>
        <v>0</v>
      </c>
      <c r="M25" s="153"/>
      <c r="N25" s="159">
        <f>+'E-1.3 Federal Inc Tax Forecast'!K66</f>
        <v>-54622.220440881763</v>
      </c>
    </row>
    <row r="26" spans="3:14">
      <c r="C26" s="290" t="s">
        <v>190</v>
      </c>
      <c r="E26" s="159">
        <f>'E-1.1 Federal Inc Tax Base'!G67</f>
        <v>-683336.75702428957</v>
      </c>
      <c r="F26" s="151"/>
      <c r="G26" s="159">
        <f t="shared" si="1"/>
        <v>-664905.2525472329</v>
      </c>
      <c r="H26" s="151"/>
      <c r="I26" s="154"/>
      <c r="J26" s="159">
        <f>'E-1.3 Federal Inc Tax Forecast'!$G$63</f>
        <v>-1348242.0095715225</v>
      </c>
      <c r="K26" s="153"/>
      <c r="L26" s="159">
        <f>N26-J26</f>
        <v>0</v>
      </c>
      <c r="M26" s="153"/>
      <c r="N26" s="159">
        <f>+'E-1.3 Federal Inc Tax Forecast'!K63</f>
        <v>-1348242.0095715225</v>
      </c>
    </row>
    <row r="27" spans="3:14">
      <c r="C27" s="290" t="s">
        <v>191</v>
      </c>
      <c r="E27" s="159"/>
      <c r="F27" s="151"/>
      <c r="G27" s="159"/>
      <c r="H27" s="151"/>
      <c r="I27" s="154"/>
      <c r="J27" s="159"/>
      <c r="K27" s="153"/>
      <c r="L27" s="159"/>
      <c r="M27" s="153"/>
      <c r="N27" s="159"/>
    </row>
    <row r="28" spans="3:14">
      <c r="C28" s="265"/>
      <c r="E28" s="159"/>
      <c r="F28" s="151"/>
      <c r="G28" s="159"/>
      <c r="H28" s="151"/>
      <c r="I28" s="154"/>
      <c r="J28" s="159"/>
      <c r="K28" s="153"/>
      <c r="L28" s="159"/>
      <c r="M28" s="153"/>
      <c r="N28" s="159"/>
    </row>
    <row r="29" spans="3:14">
      <c r="C29" s="290" t="s">
        <v>192</v>
      </c>
      <c r="E29" s="159">
        <f>'E-1.2 State Inc Tax Base'!G71</f>
        <v>-62971</v>
      </c>
      <c r="F29" s="151"/>
      <c r="G29" s="159">
        <f t="shared" ref="G29:G30" si="2">J29-E29</f>
        <v>596.88874733349076</v>
      </c>
      <c r="H29" s="151"/>
      <c r="I29" s="154"/>
      <c r="J29" s="159">
        <f>'E-1.4 State Inc Tax Forecast'!$G$65</f>
        <v>-62374.111252666509</v>
      </c>
      <c r="K29" s="153"/>
      <c r="L29" s="159">
        <f>N29-J29</f>
        <v>0</v>
      </c>
      <c r="M29" s="153"/>
      <c r="N29" s="159">
        <f>+'E-1.4 State Inc Tax Forecast'!K65</f>
        <v>-62374.111252666509</v>
      </c>
    </row>
    <row r="30" spans="3:14">
      <c r="C30" s="290" t="s">
        <v>193</v>
      </c>
      <c r="E30" s="159">
        <f>'E-1.2 State Inc Tax Base'!G66</f>
        <v>-6813.0189785188122</v>
      </c>
      <c r="F30" s="151"/>
      <c r="G30" s="159">
        <f t="shared" si="2"/>
        <v>-188252.08868351713</v>
      </c>
      <c r="H30" s="151"/>
      <c r="I30" s="154"/>
      <c r="J30" s="159">
        <f>'E-1.4 State Inc Tax Forecast'!$G$62</f>
        <v>-195065.10766203594</v>
      </c>
      <c r="K30" s="153"/>
      <c r="L30" s="159">
        <f>N30-J30</f>
        <v>0</v>
      </c>
      <c r="M30" s="153"/>
      <c r="N30" s="159">
        <f>+'E-1.4 State Inc Tax Forecast'!K62</f>
        <v>-195065.10766203594</v>
      </c>
    </row>
    <row r="31" spans="3:14">
      <c r="C31" s="78"/>
      <c r="E31" s="159"/>
      <c r="F31" s="151"/>
      <c r="G31" s="159"/>
      <c r="H31" s="151"/>
      <c r="I31" s="154"/>
      <c r="J31" s="159"/>
      <c r="K31" s="153"/>
      <c r="L31" s="159"/>
      <c r="M31" s="153"/>
      <c r="N31" s="159"/>
    </row>
    <row r="32" spans="3:14" s="299" customFormat="1" ht="15" thickBot="1">
      <c r="E32" s="379">
        <f>SUM(E25:E31)</f>
        <v>-819063.27436302335</v>
      </c>
      <c r="G32" s="379">
        <f>SUM(G25:G31)</f>
        <v>-841240.17456408334</v>
      </c>
      <c r="J32" s="379">
        <f>SUM(J25:J31)</f>
        <v>-1660303.4489271066</v>
      </c>
      <c r="K32" s="311"/>
      <c r="L32" s="379">
        <f>SUM(L25:L31)</f>
        <v>0</v>
      </c>
      <c r="M32" s="311"/>
      <c r="N32" s="379">
        <f>SUM(N25:N31)</f>
        <v>-1660303.4489271066</v>
      </c>
    </row>
    <row r="33" ht="15" thickTop="1"/>
  </sheetData>
  <mergeCells count="4">
    <mergeCell ref="A4:O4"/>
    <mergeCell ref="A5:O5"/>
    <mergeCell ref="A6:O6"/>
    <mergeCell ref="A7:O7"/>
  </mergeCells>
  <pageMargins left="0.7" right="0.7" top="0.75" bottom="0.75" header="0.3" footer="0.3"/>
  <pageSetup scale="62" orientation="portrait" verticalDpi="1200"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heetViews>
  <sheetFormatPr defaultColWidth="9.109375" defaultRowHeight="13.8"/>
  <cols>
    <col min="1" max="1" width="1.5546875" style="2" customWidth="1"/>
    <col min="2" max="2" width="41.21875" style="2" customWidth="1"/>
    <col min="3" max="3" width="1.5546875" style="2" customWidth="1"/>
    <col min="4" max="4" width="9.109375" style="2"/>
    <col min="5" max="5" width="1.5546875" style="2" customWidth="1"/>
    <col min="6" max="6" width="9.109375" style="2"/>
    <col min="7" max="7" width="1.5546875" style="2" customWidth="1"/>
    <col min="8" max="8" width="9.109375" style="2"/>
    <col min="9" max="9" width="1.5546875" style="2" customWidth="1"/>
    <col min="10" max="10" width="9.109375" style="2"/>
    <col min="11" max="11" width="1.5546875" style="2" customWidth="1"/>
    <col min="12" max="12" width="9.109375" style="2"/>
    <col min="13" max="13" width="1.5546875" style="2" customWidth="1"/>
    <col min="14" max="14" width="9.109375" style="2"/>
    <col min="15" max="15" width="1.5546875" style="2" customWidth="1"/>
    <col min="16" max="16" width="9.109375" style="2"/>
    <col min="17" max="17" width="1.5546875" style="2" customWidth="1"/>
    <col min="18" max="18" width="9.109375" style="2"/>
    <col min="19" max="19" width="1.5546875" style="2" customWidth="1"/>
    <col min="20" max="20" width="9.109375" style="2"/>
    <col min="21" max="21" width="1.5546875" style="2" customWidth="1"/>
    <col min="22" max="22" width="9.109375" style="2"/>
    <col min="23" max="23" width="1.5546875" style="2" customWidth="1"/>
    <col min="24" max="24" width="9.109375" style="2"/>
    <col min="25" max="25" width="1.5546875" style="2" customWidth="1"/>
    <col min="26" max="26" width="9.109375" style="2"/>
    <col min="27" max="27" width="1.5546875" style="2" customWidth="1"/>
    <col min="28" max="28" width="9.109375" style="2"/>
    <col min="29" max="29" width="1.5546875" style="2" customWidth="1"/>
    <col min="30" max="30" width="9.109375" style="2"/>
    <col min="31" max="31" width="1.5546875" style="2" customWidth="1"/>
    <col min="32" max="32" width="9.109375" style="2"/>
    <col min="33" max="33" width="1.5546875" style="2" customWidth="1"/>
    <col min="34" max="34" width="9.109375" style="2"/>
    <col min="35" max="35" width="1.5546875" style="2" customWidth="1"/>
    <col min="36" max="36" width="9.109375" style="2"/>
    <col min="37" max="37" width="1.5546875" style="2" customWidth="1"/>
    <col min="38" max="38" width="9.109375" style="2"/>
    <col min="39" max="39" width="1.5546875" style="2" customWidth="1"/>
    <col min="40" max="40" width="9.109375" style="2"/>
    <col min="41" max="41" width="1.5546875" style="2" customWidth="1"/>
    <col min="42" max="42" width="9.109375" style="2"/>
    <col min="43" max="43" width="1.5546875" style="2" customWidth="1"/>
    <col min="44" max="44" width="9.44140625" style="2" customWidth="1"/>
    <col min="45" max="45" width="1.5546875" style="2" customWidth="1"/>
    <col min="46" max="46" width="9.109375" style="2"/>
    <col min="47" max="47" width="1.5546875" style="2" customWidth="1"/>
    <col min="48" max="48" width="9.109375" style="2"/>
    <col min="49" max="49" width="1.5546875" style="2" customWidth="1"/>
    <col min="50" max="16384" width="9.109375" style="2"/>
  </cols>
  <sheetData>
    <row r="1" spans="1:13">
      <c r="A1" s="1" t="s">
        <v>11</v>
      </c>
      <c r="B1" s="1"/>
      <c r="C1" s="1"/>
      <c r="D1" s="1"/>
      <c r="E1" s="1"/>
      <c r="F1" s="1"/>
      <c r="G1" s="1"/>
      <c r="H1" s="1"/>
      <c r="I1" s="1"/>
      <c r="J1" s="1"/>
      <c r="L1" s="4" t="str">
        <f>'Link In'!A36</f>
        <v>W/P - 6-1</v>
      </c>
    </row>
    <row r="2" spans="1:13">
      <c r="A2" s="1" t="s">
        <v>12</v>
      </c>
      <c r="B2" s="1"/>
      <c r="C2" s="1"/>
      <c r="D2" s="1"/>
      <c r="E2" s="1"/>
      <c r="F2" s="1"/>
      <c r="G2" s="1"/>
      <c r="H2" s="1"/>
      <c r="I2" s="1"/>
      <c r="J2" s="1"/>
      <c r="L2" s="5" t="str">
        <f ca="1">RIGHT(CELL("filename",$A$1),LEN(CELL("filename",$A$1))-SEARCH("\Taxes",CELL("filename",$A$1),1))</f>
        <v>Taxes\[KAWC 2018 Rate Case - Income Tax Exhibit.xlsx]Notes</v>
      </c>
    </row>
    <row r="3" spans="1:13">
      <c r="A3" s="1"/>
      <c r="B3" s="1"/>
      <c r="C3" s="1"/>
      <c r="D3" s="1"/>
      <c r="E3" s="1"/>
      <c r="F3" s="1"/>
      <c r="G3" s="1"/>
      <c r="H3" s="1"/>
      <c r="I3" s="1"/>
      <c r="J3" s="1"/>
      <c r="L3" s="4"/>
    </row>
    <row r="4" spans="1:13">
      <c r="A4" s="3" t="s">
        <v>9</v>
      </c>
    </row>
    <row r="7" spans="1:13" ht="43.2" customHeight="1">
      <c r="A7" s="3" t="s">
        <v>18</v>
      </c>
      <c r="B7" s="408" t="s">
        <v>239</v>
      </c>
      <c r="C7" s="409"/>
      <c r="D7" s="409"/>
      <c r="E7" s="409"/>
      <c r="F7" s="409"/>
      <c r="G7" s="409"/>
      <c r="H7" s="409"/>
      <c r="I7" s="409"/>
      <c r="J7" s="409"/>
      <c r="K7" s="409"/>
      <c r="L7" s="409"/>
      <c r="M7" s="409"/>
    </row>
  </sheetData>
  <mergeCells count="1">
    <mergeCell ref="B7:M7"/>
  </mergeCells>
  <pageMargins left="0.75" right="0.75" top="0.75" bottom="0.75" header="0.3" footer="0.3"/>
  <pageSetup orientation="landscape" r:id="rId1"/>
  <headerFooter>
    <oddHeader xml:space="preserve">&amp;R&amp;10
</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82"/>
  <sheetViews>
    <sheetView zoomScale="80" zoomScaleNormal="80" workbookViewId="0">
      <pane ySplit="15" topLeftCell="A16" activePane="bottomLeft" state="frozen"/>
      <selection pane="bottomLeft" activeCell="A16" sqref="A16"/>
    </sheetView>
  </sheetViews>
  <sheetFormatPr defaultColWidth="9.109375" defaultRowHeight="14.4"/>
  <cols>
    <col min="1" max="1" width="3.5546875" style="303" customWidth="1"/>
    <col min="2" max="2" width="1.5546875" style="303" customWidth="1"/>
    <col min="3" max="3" width="16.44140625" style="303" customWidth="1"/>
    <col min="4" max="4" width="2" style="303" customWidth="1"/>
    <col min="5" max="5" width="78.5546875" style="303" customWidth="1"/>
    <col min="6" max="6" width="1.5546875" style="303" customWidth="1"/>
    <col min="7" max="7" width="21.44140625" style="123" customWidth="1"/>
    <col min="8" max="8" width="4.5546875" style="123" customWidth="1"/>
    <col min="9" max="9" width="17.5546875" style="303" bestFit="1" customWidth="1"/>
    <col min="10" max="10" width="2.44140625" style="303" customWidth="1"/>
    <col min="11" max="11" width="18.5546875" style="303" bestFit="1" customWidth="1"/>
    <col min="12" max="12" width="1.5546875" style="303" customWidth="1"/>
    <col min="13" max="13" width="15.109375" style="303" bestFit="1" customWidth="1"/>
    <col min="14" max="14" width="1.5546875" style="303" customWidth="1"/>
    <col min="15" max="15" width="20" style="303" bestFit="1" customWidth="1"/>
    <col min="16" max="16" width="1.5546875" style="303" customWidth="1"/>
    <col min="17" max="17" width="14.88671875" style="303" bestFit="1" customWidth="1"/>
    <col min="18" max="18" width="1.5546875" style="303" customWidth="1"/>
    <col min="19" max="19" width="13" style="303" bestFit="1" customWidth="1"/>
    <col min="20" max="20" width="1.5546875" style="303" customWidth="1"/>
    <col min="21" max="21" width="13" style="303" bestFit="1" customWidth="1"/>
    <col min="22" max="22" width="1.5546875" style="303" customWidth="1"/>
    <col min="23" max="23" width="12" style="303" bestFit="1" customWidth="1"/>
    <col min="24" max="24" width="1.5546875" style="303" customWidth="1"/>
    <col min="25" max="25" width="13" style="303" bestFit="1" customWidth="1"/>
    <col min="26" max="26" width="1.5546875" style="303" customWidth="1"/>
    <col min="27" max="27" width="9.109375" style="303"/>
    <col min="28" max="28" width="1.5546875" style="303" customWidth="1"/>
    <col min="29" max="29" width="9.109375" style="303"/>
    <col min="30" max="30" width="1.5546875" style="303" customWidth="1"/>
    <col min="31" max="31" width="9.109375" style="303"/>
    <col min="32" max="32" width="1.5546875" style="303" customWidth="1"/>
    <col min="33" max="16384" width="9.109375" style="303"/>
  </cols>
  <sheetData>
    <row r="1" spans="1:15">
      <c r="A1" s="145" t="s">
        <v>11</v>
      </c>
      <c r="B1" s="145"/>
      <c r="C1" s="145"/>
      <c r="D1" s="145"/>
      <c r="E1" s="145"/>
      <c r="F1" s="145"/>
      <c r="G1" s="270"/>
      <c r="H1" s="270"/>
      <c r="K1" s="91" t="s">
        <v>201</v>
      </c>
      <c r="L1" s="91"/>
    </row>
    <row r="2" spans="1:15">
      <c r="A2" s="145" t="s">
        <v>12</v>
      </c>
      <c r="B2" s="145"/>
      <c r="C2" s="145"/>
      <c r="D2" s="145"/>
      <c r="E2" s="145"/>
      <c r="F2" s="145"/>
      <c r="G2" s="270"/>
      <c r="H2" s="270"/>
      <c r="K2" s="146" t="str">
        <f ca="1">RIGHT(CELL("filename",$A$1),LEN(CELL("filename",$A$1))-SEARCH("\Taxes",CELL("filename",$A$1),1))</f>
        <v>Taxes\[KAWC 2018 Rate Case - Income Tax Exhibit.xlsx]E-1.1 Federal Inc Tax Base</v>
      </c>
      <c r="L2" s="146"/>
    </row>
    <row r="4" spans="1:15">
      <c r="A4" s="406" t="str">
        <f>'Link In'!A1</f>
        <v>Kentucky American Water Company</v>
      </c>
      <c r="B4" s="406"/>
      <c r="C4" s="406"/>
      <c r="D4" s="406"/>
      <c r="E4" s="406"/>
      <c r="F4" s="406"/>
      <c r="G4" s="406"/>
      <c r="H4" s="406"/>
      <c r="I4" s="406"/>
      <c r="J4" s="406"/>
      <c r="K4" s="406"/>
    </row>
    <row r="5" spans="1:15">
      <c r="A5" s="406" t="str">
        <f>'Link In'!A3</f>
        <v>Case No. 2018-00358</v>
      </c>
      <c r="B5" s="406"/>
      <c r="C5" s="406"/>
      <c r="D5" s="406"/>
      <c r="E5" s="406"/>
      <c r="F5" s="406"/>
      <c r="G5" s="406"/>
      <c r="H5" s="406"/>
      <c r="I5" s="406"/>
      <c r="J5" s="406"/>
      <c r="K5" s="406"/>
      <c r="L5" s="134"/>
      <c r="M5" s="134"/>
      <c r="N5" s="134"/>
      <c r="O5" s="134"/>
    </row>
    <row r="6" spans="1:15">
      <c r="A6" s="406" t="str">
        <f>'Link In'!A34</f>
        <v>Base Year Adjustment Federal and State Taxes</v>
      </c>
      <c r="B6" s="406"/>
      <c r="C6" s="406"/>
      <c r="D6" s="406"/>
      <c r="E6" s="406"/>
      <c r="F6" s="406"/>
      <c r="G6" s="406"/>
      <c r="H6" s="406"/>
      <c r="I6" s="406"/>
      <c r="J6" s="406"/>
      <c r="K6" s="406"/>
      <c r="L6" s="134"/>
      <c r="M6" s="134"/>
      <c r="N6" s="134"/>
      <c r="O6" s="134"/>
    </row>
    <row r="7" spans="1:15">
      <c r="A7" s="406" t="str">
        <f>'Link In'!A7</f>
        <v>Base Year for the 12 Months Ended February 28, 2019</v>
      </c>
      <c r="B7" s="406"/>
      <c r="C7" s="406"/>
      <c r="D7" s="406"/>
      <c r="E7" s="406"/>
      <c r="F7" s="406"/>
      <c r="G7" s="406"/>
      <c r="H7" s="406"/>
      <c r="I7" s="406"/>
      <c r="J7" s="406"/>
      <c r="K7" s="406"/>
      <c r="L7" s="134"/>
      <c r="M7" s="134"/>
      <c r="N7" s="134"/>
      <c r="O7" s="134"/>
    </row>
    <row r="8" spans="1:15">
      <c r="L8" s="134"/>
      <c r="M8" s="134"/>
      <c r="N8" s="134"/>
      <c r="O8" s="134"/>
    </row>
    <row r="9" spans="1:15">
      <c r="A9" s="299" t="str">
        <f>'Link In'!A28</f>
        <v>Witness Responsible:   John Wilde</v>
      </c>
      <c r="K9" s="299" t="str">
        <f>'Link In'!A36</f>
        <v>W/P - 6-1</v>
      </c>
      <c r="L9" s="134"/>
      <c r="M9" s="134"/>
      <c r="N9" s="134"/>
      <c r="O9" s="134"/>
    </row>
    <row r="10" spans="1:15">
      <c r="A10" s="299" t="str">
        <f>'Link In'!A15</f>
        <v>Type of Filing: __X__ Original  _____ Updated  _____ Revised</v>
      </c>
    </row>
    <row r="13" spans="1:15">
      <c r="G13" s="271" t="s">
        <v>34</v>
      </c>
      <c r="I13" s="307"/>
      <c r="J13" s="307"/>
      <c r="K13" s="307"/>
    </row>
    <row r="14" spans="1:15">
      <c r="A14" s="307"/>
      <c r="B14" s="307"/>
      <c r="C14" s="307"/>
      <c r="D14" s="307"/>
      <c r="E14" s="307"/>
      <c r="G14" s="271" t="s">
        <v>35</v>
      </c>
      <c r="I14" s="307"/>
      <c r="J14" s="307"/>
      <c r="K14" s="307" t="s">
        <v>36</v>
      </c>
    </row>
    <row r="15" spans="1:15">
      <c r="A15" s="307" t="s">
        <v>7</v>
      </c>
      <c r="B15" s="307"/>
      <c r="C15" s="307" t="s">
        <v>37</v>
      </c>
      <c r="D15" s="307"/>
      <c r="E15" s="307" t="s">
        <v>38</v>
      </c>
      <c r="G15" s="271" t="s">
        <v>39</v>
      </c>
      <c r="I15" s="307" t="s">
        <v>40</v>
      </c>
      <c r="J15" s="307"/>
      <c r="K15" s="307" t="s">
        <v>39</v>
      </c>
    </row>
    <row r="16" spans="1:15">
      <c r="A16" s="224">
        <v>1</v>
      </c>
      <c r="C16" s="299" t="s">
        <v>41</v>
      </c>
    </row>
    <row r="17" spans="1:15">
      <c r="A17" s="224">
        <v>2</v>
      </c>
      <c r="E17" s="303" t="s">
        <v>42</v>
      </c>
      <c r="G17" s="158">
        <f>'Link In'!B98</f>
        <v>91907987</v>
      </c>
      <c r="H17" s="174"/>
      <c r="I17" s="156">
        <v>0</v>
      </c>
      <c r="J17" s="160"/>
      <c r="K17" s="156">
        <f>G17+I17</f>
        <v>91907987</v>
      </c>
    </row>
    <row r="18" spans="1:15">
      <c r="A18" s="224">
        <v>3</v>
      </c>
      <c r="G18" s="174"/>
      <c r="H18" s="174"/>
      <c r="I18" s="160"/>
      <c r="J18" s="160"/>
      <c r="K18" s="160"/>
    </row>
    <row r="19" spans="1:15">
      <c r="A19" s="224">
        <v>4</v>
      </c>
      <c r="C19" s="299" t="s">
        <v>43</v>
      </c>
      <c r="G19" s="174"/>
      <c r="H19" s="174"/>
      <c r="I19" s="160"/>
      <c r="J19" s="160"/>
      <c r="K19" s="160"/>
    </row>
    <row r="20" spans="1:15">
      <c r="A20" s="224">
        <v>5</v>
      </c>
      <c r="E20" s="303" t="s">
        <v>44</v>
      </c>
      <c r="G20" s="174">
        <f>-'Link In'!$B$103</f>
        <v>-34285634</v>
      </c>
      <c r="H20" s="174"/>
      <c r="I20" s="160">
        <v>0</v>
      </c>
      <c r="J20" s="160"/>
      <c r="K20" s="160">
        <f>G20+I20</f>
        <v>-34285634</v>
      </c>
    </row>
    <row r="21" spans="1:15">
      <c r="A21" s="224">
        <v>6</v>
      </c>
      <c r="E21" s="303" t="s">
        <v>45</v>
      </c>
      <c r="G21" s="174">
        <f>-SUM('Link In'!$B$104:$B$107)</f>
        <v>-16551585</v>
      </c>
      <c r="H21" s="174"/>
      <c r="I21" s="160">
        <v>0</v>
      </c>
      <c r="J21" s="160"/>
      <c r="K21" s="160">
        <f>G21+I21</f>
        <v>-16551585</v>
      </c>
    </row>
    <row r="22" spans="1:15">
      <c r="A22" s="224">
        <v>7</v>
      </c>
      <c r="E22" s="303" t="s">
        <v>46</v>
      </c>
      <c r="G22" s="174">
        <f>-'Link In'!$B$111</f>
        <v>-7362427</v>
      </c>
      <c r="H22" s="174"/>
      <c r="I22" s="160">
        <v>0</v>
      </c>
      <c r="J22" s="160"/>
      <c r="K22" s="160">
        <f>G22+I22</f>
        <v>-7362427</v>
      </c>
    </row>
    <row r="23" spans="1:15">
      <c r="A23" s="224">
        <v>8</v>
      </c>
      <c r="E23" s="303" t="s">
        <v>48</v>
      </c>
      <c r="G23" s="174">
        <f>-'Link In'!L119</f>
        <v>-12918317.101990042</v>
      </c>
      <c r="H23" s="174"/>
      <c r="I23" s="160">
        <f>K23-G23</f>
        <v>0</v>
      </c>
      <c r="J23" s="160"/>
      <c r="K23" s="160">
        <f>G23</f>
        <v>-12918317.101990042</v>
      </c>
    </row>
    <row r="24" spans="1:15">
      <c r="A24" s="224">
        <v>9</v>
      </c>
      <c r="E24" s="161" t="s">
        <v>49</v>
      </c>
      <c r="G24" s="318">
        <f>SUM(G20:G23)</f>
        <v>-71117963.101990044</v>
      </c>
      <c r="H24" s="273"/>
      <c r="I24" s="283">
        <f>SUM(I20:I23)</f>
        <v>0</v>
      </c>
      <c r="J24" s="163"/>
      <c r="K24" s="283">
        <f>SUM(K20:K23)</f>
        <v>-71117963.101990044</v>
      </c>
    </row>
    <row r="25" spans="1:15">
      <c r="A25" s="224">
        <v>10</v>
      </c>
      <c r="E25" s="91"/>
      <c r="G25" s="174"/>
      <c r="H25" s="174"/>
      <c r="I25" s="160"/>
      <c r="J25" s="160"/>
      <c r="K25" s="160"/>
    </row>
    <row r="26" spans="1:15">
      <c r="A26" s="224">
        <v>11</v>
      </c>
      <c r="E26" s="91" t="s">
        <v>50</v>
      </c>
      <c r="G26" s="312">
        <f>SUM(G17:G23)</f>
        <v>20790023.898009956</v>
      </c>
      <c r="H26" s="273"/>
      <c r="I26" s="282">
        <f>SUM(I17:I23)</f>
        <v>0</v>
      </c>
      <c r="J26" s="163"/>
      <c r="K26" s="282">
        <f>SUM(K17:K23)</f>
        <v>20790023.898009956</v>
      </c>
      <c r="M26" s="366"/>
    </row>
    <row r="27" spans="1:15">
      <c r="A27" s="224">
        <v>12</v>
      </c>
      <c r="E27" s="91"/>
      <c r="G27" s="312"/>
      <c r="H27" s="273"/>
      <c r="I27" s="282"/>
      <c r="J27" s="163"/>
      <c r="K27" s="282"/>
      <c r="M27" s="366"/>
    </row>
    <row r="28" spans="1:15">
      <c r="A28" s="224">
        <v>13</v>
      </c>
      <c r="E28" s="303" t="s">
        <v>47</v>
      </c>
      <c r="G28" s="158">
        <f>-'E-1.2 State Inc Tax Base'!G58</f>
        <v>-1059899.1223152166</v>
      </c>
      <c r="H28" s="174"/>
      <c r="I28" s="156">
        <f>'E-1.2 State Inc Tax Base'!I58</f>
        <v>0</v>
      </c>
      <c r="J28" s="160"/>
      <c r="K28" s="156">
        <f>I28+G28</f>
        <v>-1059899.1223152166</v>
      </c>
      <c r="M28" s="366"/>
      <c r="O28" s="366"/>
    </row>
    <row r="29" spans="1:15">
      <c r="A29" s="224">
        <v>14</v>
      </c>
      <c r="E29" s="227" t="s">
        <v>296</v>
      </c>
      <c r="G29" s="174">
        <f>-G72-G74</f>
        <v>144434.49836021493</v>
      </c>
      <c r="H29" s="174"/>
      <c r="I29" s="160">
        <v>0</v>
      </c>
      <c r="J29" s="160"/>
      <c r="K29" s="174">
        <f>-K72-K74</f>
        <v>144434.49836021493</v>
      </c>
      <c r="M29" s="366"/>
      <c r="O29" s="366"/>
    </row>
    <row r="30" spans="1:15">
      <c r="A30" s="224">
        <v>15</v>
      </c>
      <c r="G30" s="158"/>
      <c r="H30" s="174"/>
      <c r="I30" s="156"/>
      <c r="J30" s="160"/>
      <c r="K30" s="156"/>
      <c r="M30" s="366"/>
      <c r="O30" s="366"/>
    </row>
    <row r="31" spans="1:15">
      <c r="A31" s="224">
        <v>16</v>
      </c>
      <c r="C31" s="299" t="s">
        <v>51</v>
      </c>
      <c r="G31" s="174"/>
      <c r="H31" s="174"/>
      <c r="I31" s="160"/>
      <c r="J31" s="160"/>
      <c r="K31" s="160"/>
      <c r="M31" s="366"/>
    </row>
    <row r="32" spans="1:15" ht="28.8">
      <c r="A32" s="224">
        <v>17</v>
      </c>
      <c r="E32" s="164" t="s">
        <v>52</v>
      </c>
      <c r="G32" s="174"/>
      <c r="H32" s="174"/>
      <c r="I32" s="160"/>
      <c r="J32" s="160"/>
      <c r="K32" s="160"/>
      <c r="M32" s="366"/>
    </row>
    <row r="33" spans="1:17">
      <c r="A33" s="224">
        <v>18</v>
      </c>
      <c r="E33" s="165" t="s">
        <v>53</v>
      </c>
      <c r="G33" s="174">
        <f>(+'Link In'!B124)*0.5</f>
        <v>17811</v>
      </c>
      <c r="H33" s="174"/>
      <c r="I33" s="160">
        <v>0</v>
      </c>
      <c r="J33" s="160"/>
      <c r="K33" s="160">
        <f>G33+I33</f>
        <v>17811</v>
      </c>
      <c r="M33" s="366"/>
    </row>
    <row r="34" spans="1:17">
      <c r="A34" s="224">
        <v>19</v>
      </c>
      <c r="E34" s="165" t="s">
        <v>54</v>
      </c>
      <c r="G34" s="174">
        <f>'Link In'!L118</f>
        <v>190888.77503399996</v>
      </c>
      <c r="H34" s="174"/>
      <c r="I34" s="160">
        <v>0</v>
      </c>
      <c r="J34" s="160"/>
      <c r="K34" s="160">
        <f>G34+I34</f>
        <v>190888.77503399996</v>
      </c>
      <c r="M34" s="366"/>
      <c r="O34" s="160"/>
    </row>
    <row r="35" spans="1:17">
      <c r="A35" s="224">
        <v>20</v>
      </c>
      <c r="E35" s="166" t="s">
        <v>55</v>
      </c>
      <c r="G35" s="318">
        <f>G26+G33+G34+G28+G29</f>
        <v>20083259.049088955</v>
      </c>
      <c r="H35" s="318"/>
      <c r="I35" s="318">
        <f>I26+I33+I34+I28+I29</f>
        <v>0</v>
      </c>
      <c r="J35" s="318"/>
      <c r="K35" s="318">
        <f>K26+K33+K34+K28+K29</f>
        <v>20083259.049088955</v>
      </c>
      <c r="M35" s="366"/>
      <c r="O35" s="174"/>
    </row>
    <row r="36" spans="1:17">
      <c r="A36" s="224">
        <v>21</v>
      </c>
      <c r="G36" s="174"/>
      <c r="H36" s="174"/>
      <c r="I36" s="160"/>
      <c r="J36" s="160"/>
      <c r="K36" s="160"/>
      <c r="M36" s="366"/>
    </row>
    <row r="37" spans="1:17" ht="28.8">
      <c r="A37" s="224">
        <v>22</v>
      </c>
      <c r="E37" s="164" t="s">
        <v>56</v>
      </c>
      <c r="G37" s="174"/>
      <c r="H37" s="174"/>
      <c r="I37" s="160"/>
      <c r="J37" s="160"/>
      <c r="K37" s="160"/>
      <c r="M37" s="366"/>
      <c r="O37" s="366"/>
    </row>
    <row r="38" spans="1:17">
      <c r="A38" s="224">
        <v>23</v>
      </c>
      <c r="E38" s="165" t="s">
        <v>57</v>
      </c>
      <c r="G38" s="174">
        <f>-'Link In'!B128</f>
        <v>-12675648.863488287</v>
      </c>
      <c r="H38" s="174"/>
      <c r="I38" s="160">
        <f>K38-G38</f>
        <v>0</v>
      </c>
      <c r="J38" s="160"/>
      <c r="K38" s="160">
        <f>G38</f>
        <v>-12675648.863488287</v>
      </c>
      <c r="M38" s="366"/>
      <c r="O38" s="335"/>
      <c r="Q38" s="348"/>
    </row>
    <row r="39" spans="1:17">
      <c r="A39" s="224">
        <v>24</v>
      </c>
      <c r="E39" s="165" t="s">
        <v>58</v>
      </c>
      <c r="G39" s="174">
        <f>'Link In'!B129</f>
        <v>15774618.059483834</v>
      </c>
      <c r="H39" s="174"/>
      <c r="I39" s="160">
        <f t="shared" ref="I39:I48" si="0">K39-G39</f>
        <v>0</v>
      </c>
      <c r="J39" s="160"/>
      <c r="K39" s="160">
        <f t="shared" ref="K39:K48" si="1">G39</f>
        <v>15774618.059483834</v>
      </c>
      <c r="M39" s="366"/>
      <c r="O39" s="335"/>
      <c r="Q39" s="348"/>
    </row>
    <row r="40" spans="1:17">
      <c r="A40" s="224">
        <v>25</v>
      </c>
      <c r="E40" s="165" t="s">
        <v>59</v>
      </c>
      <c r="G40" s="174">
        <f>'Link In'!B131</f>
        <v>57084</v>
      </c>
      <c r="H40" s="174"/>
      <c r="I40" s="160">
        <f t="shared" si="0"/>
        <v>0</v>
      </c>
      <c r="J40" s="160"/>
      <c r="K40" s="160">
        <f t="shared" si="1"/>
        <v>57084</v>
      </c>
      <c r="M40" s="366"/>
    </row>
    <row r="41" spans="1:17">
      <c r="A41" s="224">
        <v>26</v>
      </c>
      <c r="E41" s="165" t="s">
        <v>60</v>
      </c>
      <c r="G41" s="174">
        <v>0</v>
      </c>
      <c r="H41" s="174"/>
      <c r="I41" s="160">
        <f t="shared" si="0"/>
        <v>0</v>
      </c>
      <c r="J41" s="160"/>
      <c r="K41" s="160">
        <f t="shared" si="1"/>
        <v>0</v>
      </c>
      <c r="M41" s="366"/>
    </row>
    <row r="42" spans="1:17">
      <c r="A42" s="224">
        <v>27</v>
      </c>
      <c r="E42" s="165" t="s">
        <v>61</v>
      </c>
      <c r="G42" s="174">
        <f>'Link In'!B133</f>
        <v>839228</v>
      </c>
      <c r="H42" s="174"/>
      <c r="I42" s="160">
        <f t="shared" si="0"/>
        <v>0</v>
      </c>
      <c r="J42" s="160"/>
      <c r="K42" s="160">
        <f t="shared" si="1"/>
        <v>839228</v>
      </c>
      <c r="M42" s="366"/>
    </row>
    <row r="43" spans="1:17">
      <c r="A43" s="224">
        <v>28</v>
      </c>
      <c r="E43" s="165" t="s">
        <v>62</v>
      </c>
      <c r="G43" s="158">
        <f>-'Link In'!B134</f>
        <v>-2547540.2398888841</v>
      </c>
      <c r="H43" s="174"/>
      <c r="I43" s="160">
        <f t="shared" si="0"/>
        <v>0</v>
      </c>
      <c r="J43" s="160"/>
      <c r="K43" s="160">
        <f t="shared" si="1"/>
        <v>-2547540.2398888841</v>
      </c>
      <c r="M43" s="366"/>
    </row>
    <row r="44" spans="1:17">
      <c r="A44" s="224">
        <v>29</v>
      </c>
      <c r="E44" s="165" t="s">
        <v>63</v>
      </c>
      <c r="G44" s="174">
        <f>'Link In'!B137</f>
        <v>-2228479</v>
      </c>
      <c r="H44" s="174"/>
      <c r="I44" s="160">
        <f t="shared" si="0"/>
        <v>0</v>
      </c>
      <c r="J44" s="160"/>
      <c r="K44" s="160">
        <f t="shared" si="1"/>
        <v>-2228479</v>
      </c>
      <c r="M44" s="366"/>
      <c r="O44" s="160"/>
    </row>
    <row r="45" spans="1:17">
      <c r="A45" s="224">
        <v>30</v>
      </c>
      <c r="E45" s="165" t="s">
        <v>64</v>
      </c>
      <c r="G45" s="174">
        <f>'Link In'!B138</f>
        <v>7550060.3718294473</v>
      </c>
      <c r="H45" s="174"/>
      <c r="I45" s="160">
        <f t="shared" si="0"/>
        <v>0</v>
      </c>
      <c r="J45" s="160"/>
      <c r="K45" s="160">
        <f t="shared" si="1"/>
        <v>7550060.3718294473</v>
      </c>
      <c r="M45" s="366"/>
    </row>
    <row r="46" spans="1:17">
      <c r="A46" s="224">
        <v>31</v>
      </c>
      <c r="E46" s="165" t="s">
        <v>65</v>
      </c>
      <c r="G46" s="174">
        <f>-'Link In'!B139</f>
        <v>-4902748.4633657346</v>
      </c>
      <c r="H46" s="174"/>
      <c r="I46" s="160">
        <f t="shared" si="0"/>
        <v>0</v>
      </c>
      <c r="J46" s="160"/>
      <c r="K46" s="160">
        <f t="shared" si="1"/>
        <v>-4902748.4633657346</v>
      </c>
      <c r="M46" s="366"/>
    </row>
    <row r="47" spans="1:17">
      <c r="A47" s="224">
        <v>32</v>
      </c>
      <c r="E47" s="165" t="s">
        <v>89</v>
      </c>
      <c r="G47" s="174">
        <f>'Link In'!B140</f>
        <v>2841122</v>
      </c>
      <c r="H47" s="174"/>
      <c r="I47" s="160">
        <f t="shared" si="0"/>
        <v>0</v>
      </c>
      <c r="J47" s="160"/>
      <c r="K47" s="160">
        <f t="shared" si="1"/>
        <v>2841122</v>
      </c>
      <c r="M47" s="366"/>
    </row>
    <row r="48" spans="1:17">
      <c r="A48" s="224">
        <v>33</v>
      </c>
      <c r="E48" s="165" t="s">
        <v>66</v>
      </c>
      <c r="G48" s="174">
        <f>-'Link In'!B141</f>
        <v>-1446898.2883333336</v>
      </c>
      <c r="H48" s="174"/>
      <c r="I48" s="160">
        <f t="shared" si="0"/>
        <v>0</v>
      </c>
      <c r="J48" s="160"/>
      <c r="K48" s="160">
        <f t="shared" si="1"/>
        <v>-1446898.2883333336</v>
      </c>
      <c r="M48" s="366"/>
    </row>
    <row r="49" spans="1:25">
      <c r="A49" s="224">
        <v>34</v>
      </c>
      <c r="E49" s="166" t="s">
        <v>67</v>
      </c>
      <c r="G49" s="318">
        <f>SUM(G38:G48)</f>
        <v>3260797.576237042</v>
      </c>
      <c r="H49" s="174"/>
      <c r="I49" s="283">
        <f>SUM(I38:I48)</f>
        <v>0</v>
      </c>
      <c r="J49" s="160"/>
      <c r="K49" s="283">
        <f>SUM(K38:K48)</f>
        <v>3260797.576237042</v>
      </c>
      <c r="M49" s="366"/>
      <c r="O49" s="126"/>
    </row>
    <row r="50" spans="1:25">
      <c r="A50" s="224">
        <v>35</v>
      </c>
      <c r="G50" s="174"/>
      <c r="H50" s="174"/>
      <c r="I50" s="160"/>
      <c r="J50" s="160"/>
      <c r="K50" s="160"/>
      <c r="O50" s="348"/>
    </row>
    <row r="51" spans="1:25" ht="15" thickBot="1">
      <c r="A51" s="224">
        <v>36</v>
      </c>
      <c r="E51" s="299" t="s">
        <v>68</v>
      </c>
      <c r="G51" s="314">
        <f>G35+G49</f>
        <v>23344056.625325996</v>
      </c>
      <c r="H51" s="174"/>
      <c r="I51" s="319">
        <f>I35+I49</f>
        <v>0</v>
      </c>
      <c r="J51" s="160"/>
      <c r="K51" s="315">
        <f>K35+K49</f>
        <v>23344056.625325996</v>
      </c>
    </row>
    <row r="52" spans="1:25" ht="15" thickTop="1">
      <c r="A52" s="224">
        <v>37</v>
      </c>
      <c r="G52" s="174"/>
      <c r="H52" s="174"/>
      <c r="I52" s="160"/>
      <c r="J52" s="160"/>
      <c r="K52" s="160"/>
    </row>
    <row r="53" spans="1:25">
      <c r="A53" s="224">
        <v>38</v>
      </c>
      <c r="C53" s="299" t="s">
        <v>69</v>
      </c>
      <c r="D53" s="299"/>
      <c r="E53" s="299"/>
      <c r="G53" s="174"/>
      <c r="H53" s="174"/>
      <c r="I53" s="160"/>
      <c r="J53" s="160"/>
      <c r="K53" s="160"/>
    </row>
    <row r="54" spans="1:25">
      <c r="A54" s="224">
        <v>39</v>
      </c>
      <c r="E54" s="167" t="s">
        <v>70</v>
      </c>
      <c r="G54" s="274">
        <v>0.21</v>
      </c>
      <c r="H54" s="274"/>
      <c r="I54" s="358">
        <v>0.21</v>
      </c>
      <c r="J54" s="168"/>
      <c r="K54" s="274">
        <v>0.21</v>
      </c>
    </row>
    <row r="55" spans="1:25" ht="13.5" customHeight="1">
      <c r="A55" s="224">
        <v>40</v>
      </c>
      <c r="E55" s="91" t="s">
        <v>71</v>
      </c>
      <c r="G55" s="272">
        <f>G51*G54</f>
        <v>4902251.8913184591</v>
      </c>
      <c r="H55" s="174"/>
      <c r="I55" s="160">
        <f>I51*I54</f>
        <v>0</v>
      </c>
      <c r="J55" s="160"/>
      <c r="K55" s="162">
        <f>K51*K54</f>
        <v>4902251.8913184591</v>
      </c>
    </row>
    <row r="56" spans="1:25">
      <c r="A56" s="224">
        <v>41</v>
      </c>
      <c r="E56" s="303" t="s">
        <v>72</v>
      </c>
      <c r="G56" s="174"/>
      <c r="H56" s="360"/>
      <c r="I56" s="160"/>
      <c r="J56" s="160"/>
      <c r="K56" s="160"/>
    </row>
    <row r="57" spans="1:25">
      <c r="A57" s="224">
        <v>42</v>
      </c>
      <c r="E57" s="91" t="s">
        <v>73</v>
      </c>
      <c r="G57" s="273">
        <f>G55+G56</f>
        <v>4902251.8913184591</v>
      </c>
      <c r="H57" s="174"/>
      <c r="I57" s="156"/>
      <c r="J57" s="160"/>
      <c r="K57" s="282">
        <f>G57</f>
        <v>4902251.8913184591</v>
      </c>
    </row>
    <row r="58" spans="1:25">
      <c r="A58" s="224">
        <v>43</v>
      </c>
      <c r="E58" s="303" t="s">
        <v>74</v>
      </c>
      <c r="G58" s="174">
        <f>-'Link In'!B166</f>
        <v>0</v>
      </c>
      <c r="H58" s="174"/>
      <c r="I58" s="160">
        <f>-G58</f>
        <v>0</v>
      </c>
      <c r="J58" s="160"/>
      <c r="K58" s="160">
        <f>G58+I58</f>
        <v>0</v>
      </c>
    </row>
    <row r="59" spans="1:25" ht="15" thickBot="1">
      <c r="A59" s="224">
        <v>44</v>
      </c>
      <c r="E59" s="91" t="s">
        <v>75</v>
      </c>
      <c r="G59" s="314">
        <f>G57-G58</f>
        <v>4902251.8913184591</v>
      </c>
      <c r="H59" s="174"/>
      <c r="I59" s="315">
        <f>I57-I58</f>
        <v>0</v>
      </c>
      <c r="J59" s="160"/>
      <c r="K59" s="315">
        <f>K57-K58</f>
        <v>4902251.8913184591</v>
      </c>
    </row>
    <row r="60" spans="1:25" ht="15" thickTop="1">
      <c r="A60" s="224">
        <v>45</v>
      </c>
      <c r="G60" s="174"/>
      <c r="H60" s="174"/>
      <c r="I60" s="160"/>
      <c r="J60" s="160"/>
      <c r="K60" s="160"/>
    </row>
    <row r="61" spans="1:25">
      <c r="A61" s="224">
        <v>46</v>
      </c>
      <c r="C61" s="299" t="s">
        <v>76</v>
      </c>
      <c r="D61" s="299"/>
      <c r="E61" s="299"/>
      <c r="G61" s="174"/>
      <c r="H61" s="174"/>
      <c r="I61" s="160"/>
      <c r="J61" s="160"/>
      <c r="K61" s="160"/>
    </row>
    <row r="62" spans="1:25">
      <c r="A62" s="224">
        <v>47</v>
      </c>
      <c r="E62" s="303" t="s">
        <v>77</v>
      </c>
      <c r="G62" s="334">
        <f>('Link In'!B144*0+(-(G38+G39+G44+G45+G46+'E-1.2 State Inc Tax Base'!G61))*G54)</f>
        <v>-734609.16040462209</v>
      </c>
      <c r="H62" s="174"/>
      <c r="I62" s="160">
        <v>0</v>
      </c>
      <c r="J62" s="160"/>
      <c r="K62" s="160">
        <f>G62+I62</f>
        <v>-734609.16040462209</v>
      </c>
      <c r="M62" s="380"/>
      <c r="O62" s="335"/>
      <c r="Q62" s="348"/>
    </row>
    <row r="63" spans="1:25">
      <c r="A63" s="224">
        <v>48</v>
      </c>
      <c r="E63" s="303" t="s">
        <v>78</v>
      </c>
      <c r="G63" s="174">
        <f>(-G42-G43-'E-1.2 State Inc Tax Base'!G62)*G54</f>
        <v>340808.2918578324</v>
      </c>
      <c r="H63" s="174"/>
      <c r="I63" s="160">
        <v>0</v>
      </c>
      <c r="J63" s="160"/>
      <c r="K63" s="160">
        <f>G63+I63</f>
        <v>340808.2918578324</v>
      </c>
      <c r="M63" s="366"/>
      <c r="O63" s="366"/>
      <c r="Q63" s="160"/>
      <c r="S63" s="348"/>
      <c r="U63" s="348"/>
      <c r="W63" s="348"/>
      <c r="Y63" s="348"/>
    </row>
    <row r="64" spans="1:25">
      <c r="A64" s="224">
        <v>49</v>
      </c>
      <c r="E64" s="303" t="s">
        <v>79</v>
      </c>
      <c r="G64" s="174">
        <f>(-G40-'E-1.2 State Inc Tax Base'!G63)*G54</f>
        <v>-11388.258</v>
      </c>
      <c r="H64" s="174"/>
      <c r="I64" s="160">
        <v>0</v>
      </c>
      <c r="J64" s="160"/>
      <c r="K64" s="160">
        <f>G64+I64</f>
        <v>-11388.258</v>
      </c>
      <c r="M64" s="160"/>
    </row>
    <row r="65" spans="1:15">
      <c r="A65" s="224">
        <v>50</v>
      </c>
      <c r="E65" s="303" t="s">
        <v>80</v>
      </c>
      <c r="G65" s="174">
        <f>(-SUM(G47:G48)-'E-1.2 State Inc Tax Base'!G64)*G54</f>
        <v>-278147.63047749997</v>
      </c>
      <c r="H65" s="174"/>
      <c r="I65" s="160">
        <v>0</v>
      </c>
      <c r="J65" s="160"/>
      <c r="K65" s="160">
        <f>G65+I65</f>
        <v>-278147.63047749997</v>
      </c>
    </row>
    <row r="66" spans="1:15">
      <c r="A66" s="224">
        <v>51</v>
      </c>
      <c r="E66" s="169" t="s">
        <v>81</v>
      </c>
      <c r="G66" s="174">
        <f>'Link In'!B168</f>
        <v>0</v>
      </c>
      <c r="H66" s="174"/>
      <c r="I66" s="160">
        <f>-G66</f>
        <v>0</v>
      </c>
      <c r="J66" s="160"/>
      <c r="K66" s="160">
        <f>G66+I66</f>
        <v>0</v>
      </c>
    </row>
    <row r="67" spans="1:15">
      <c r="A67" s="224">
        <v>52</v>
      </c>
      <c r="E67" s="91" t="s">
        <v>82</v>
      </c>
      <c r="G67" s="272">
        <f>SUM(G62:G66)</f>
        <v>-683336.75702428957</v>
      </c>
      <c r="H67" s="174"/>
      <c r="I67" s="283">
        <f>SUM(I62:I66)</f>
        <v>0</v>
      </c>
      <c r="J67" s="160"/>
      <c r="K67" s="283">
        <f>SUM(K62:K66)</f>
        <v>-683336.75702428957</v>
      </c>
      <c r="M67" s="366"/>
      <c r="O67" s="366"/>
    </row>
    <row r="68" spans="1:15">
      <c r="A68" s="224">
        <v>53</v>
      </c>
      <c r="E68" s="303" t="s">
        <v>72</v>
      </c>
      <c r="G68" s="174"/>
      <c r="H68" s="174"/>
      <c r="I68" s="160"/>
      <c r="J68" s="160"/>
      <c r="K68" s="160">
        <f>G68</f>
        <v>0</v>
      </c>
    </row>
    <row r="69" spans="1:15">
      <c r="A69" s="224">
        <v>54</v>
      </c>
      <c r="E69" s="91" t="s">
        <v>83</v>
      </c>
      <c r="G69" s="312">
        <f>G67-G68</f>
        <v>-683336.75702428957</v>
      </c>
      <c r="H69" s="174"/>
      <c r="I69" s="282">
        <f>I67-I68</f>
        <v>0</v>
      </c>
      <c r="J69" s="160"/>
      <c r="K69" s="282">
        <f>K67-K68</f>
        <v>-683336.75702428957</v>
      </c>
    </row>
    <row r="70" spans="1:15">
      <c r="A70" s="224">
        <v>55</v>
      </c>
      <c r="G70" s="174"/>
      <c r="H70" s="174"/>
      <c r="I70" s="160"/>
      <c r="J70" s="160"/>
      <c r="K70" s="160"/>
    </row>
    <row r="71" spans="1:15">
      <c r="A71" s="224">
        <v>56</v>
      </c>
      <c r="E71" s="299" t="s">
        <v>84</v>
      </c>
      <c r="G71" s="174"/>
      <c r="H71" s="174"/>
      <c r="I71" s="160"/>
      <c r="J71" s="160"/>
      <c r="K71" s="160"/>
    </row>
    <row r="72" spans="1:15">
      <c r="A72" s="224">
        <v>57</v>
      </c>
      <c r="E72" s="303" t="s">
        <v>85</v>
      </c>
      <c r="G72" s="174">
        <f>'Link In'!D257</f>
        <v>-65942.498360214944</v>
      </c>
      <c r="H72" s="174"/>
      <c r="I72" s="160">
        <v>0</v>
      </c>
      <c r="J72" s="160"/>
      <c r="K72" s="160">
        <f>G72+I72</f>
        <v>-65942.498360214944</v>
      </c>
    </row>
    <row r="73" spans="1:15">
      <c r="A73" s="224">
        <v>58</v>
      </c>
      <c r="G73" s="174"/>
      <c r="H73" s="174"/>
      <c r="I73" s="160"/>
      <c r="J73" s="160"/>
      <c r="K73" s="163"/>
    </row>
    <row r="74" spans="1:15">
      <c r="A74" s="224">
        <v>59</v>
      </c>
      <c r="E74" s="169" t="s">
        <v>86</v>
      </c>
      <c r="G74" s="174">
        <f>-'Link In'!B149</f>
        <v>-78492</v>
      </c>
      <c r="H74" s="174"/>
      <c r="I74" s="160">
        <v>0</v>
      </c>
      <c r="J74" s="160"/>
      <c r="K74" s="160">
        <f>G74+I74</f>
        <v>-78492</v>
      </c>
    </row>
    <row r="75" spans="1:15" ht="15" thickBot="1">
      <c r="A75" s="224">
        <v>60</v>
      </c>
      <c r="E75" s="91" t="s">
        <v>87</v>
      </c>
      <c r="G75" s="314">
        <f>G69+G72+G74</f>
        <v>-827771.25538450456</v>
      </c>
      <c r="H75" s="174"/>
      <c r="I75" s="315">
        <f>I69+I72+I74</f>
        <v>0</v>
      </c>
      <c r="J75" s="160"/>
      <c r="K75" s="315">
        <f>K69+K72+K74</f>
        <v>-827771.25538450456</v>
      </c>
    </row>
    <row r="76" spans="1:15" ht="15" thickTop="1">
      <c r="A76" s="224">
        <v>61</v>
      </c>
      <c r="G76" s="174"/>
      <c r="H76" s="174"/>
      <c r="I76" s="160"/>
      <c r="J76" s="160"/>
      <c r="K76" s="160"/>
    </row>
    <row r="77" spans="1:15">
      <c r="A77" s="224">
        <v>62</v>
      </c>
      <c r="G77" s="174"/>
      <c r="H77" s="174"/>
      <c r="I77" s="160"/>
      <c r="J77" s="160"/>
      <c r="K77" s="160"/>
    </row>
    <row r="78" spans="1:15" ht="15" thickBot="1">
      <c r="A78" s="224">
        <v>63</v>
      </c>
      <c r="E78" s="299" t="s">
        <v>88</v>
      </c>
      <c r="G78" s="314">
        <f>G59+G75</f>
        <v>4074480.6359339543</v>
      </c>
      <c r="H78" s="174"/>
      <c r="I78" s="315">
        <f>I59+I75</f>
        <v>0</v>
      </c>
      <c r="J78" s="160"/>
      <c r="K78" s="315">
        <f>K59+K75</f>
        <v>4074480.6359339543</v>
      </c>
    </row>
    <row r="79" spans="1:15" ht="15" thickTop="1"/>
    <row r="80" spans="1:15">
      <c r="I80" s="388" t="s">
        <v>279</v>
      </c>
      <c r="J80" s="389"/>
      <c r="K80" s="390">
        <f>SUM(K26,K33:K34,K29)*(0.21-0.05*0.21)+K72+K74</f>
        <v>4073625.5568349175</v>
      </c>
      <c r="L80" s="389"/>
      <c r="M80" s="389"/>
    </row>
    <row r="81" spans="5:13">
      <c r="I81" s="389"/>
      <c r="J81" s="389"/>
      <c r="K81" s="390">
        <f>K80-K78</f>
        <v>-855.07909903675318</v>
      </c>
      <c r="L81" s="389"/>
      <c r="M81" s="389" t="s">
        <v>280</v>
      </c>
    </row>
    <row r="82" spans="5:13">
      <c r="E82" s="370" t="s">
        <v>282</v>
      </c>
      <c r="G82" s="158">
        <f>G78+'E-1.2 State Inc Tax Base'!G75</f>
        <v>5064595.7392706517</v>
      </c>
      <c r="I82" s="158">
        <f>I78+'E-1.2 State Inc Tax Base'!I75</f>
        <v>0</v>
      </c>
      <c r="K82" s="158">
        <f>K78+'E-1.2 State Inc Tax Base'!K75</f>
        <v>5064595.7392706517</v>
      </c>
    </row>
  </sheetData>
  <mergeCells count="4">
    <mergeCell ref="A4:K4"/>
    <mergeCell ref="A5:K5"/>
    <mergeCell ref="A6:K6"/>
    <mergeCell ref="A7:K7"/>
  </mergeCells>
  <pageMargins left="0.7" right="0.7" top="0.75" bottom="0.75" header="0.3" footer="0.3"/>
  <pageSetup scale="53" orientation="portrait" verticalDpi="1200"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85"/>
  <sheetViews>
    <sheetView zoomScale="80" zoomScaleNormal="80" workbookViewId="0"/>
  </sheetViews>
  <sheetFormatPr defaultRowHeight="14.4"/>
  <cols>
    <col min="1" max="1" width="3.44140625" customWidth="1"/>
    <col min="2" max="2" width="1.5546875" customWidth="1"/>
    <col min="3" max="3" width="16.44140625" customWidth="1"/>
    <col min="4" max="4" width="1.5546875" customWidth="1"/>
    <col min="5" max="5" width="78.5546875" customWidth="1"/>
    <col min="6" max="6" width="1.5546875" customWidth="1"/>
    <col min="7" max="7" width="19.5546875" bestFit="1" customWidth="1"/>
    <col min="8" max="8" width="1.5546875" style="257" customWidth="1"/>
    <col min="9" max="9" width="17.5546875" bestFit="1" customWidth="1"/>
    <col min="10" max="10" width="1.5546875" customWidth="1"/>
    <col min="11" max="11" width="18.5546875" bestFit="1" customWidth="1"/>
    <col min="12" max="12" width="1.5546875" customWidth="1"/>
    <col min="13" max="13" width="12.44140625" bestFit="1" customWidth="1"/>
    <col min="14" max="14" width="1.5546875" customWidth="1"/>
    <col min="16" max="16" width="1.5546875" customWidth="1"/>
    <col min="18" max="18" width="1.5546875" customWidth="1"/>
    <col min="20" max="20" width="1.5546875" customWidth="1"/>
    <col min="22" max="22" width="1.5546875" customWidth="1"/>
    <col min="24" max="24" width="1.5546875" customWidth="1"/>
    <col min="26" max="26" width="1.5546875" customWidth="1"/>
    <col min="28" max="28" width="1.5546875" customWidth="1"/>
    <col min="30" max="30" width="1.5546875" customWidth="1"/>
    <col min="32" max="32" width="1.5546875" customWidth="1"/>
  </cols>
  <sheetData>
    <row r="1" spans="1:14">
      <c r="A1" s="145" t="s">
        <v>11</v>
      </c>
      <c r="B1" s="145"/>
      <c r="C1" s="145"/>
      <c r="D1" s="145"/>
      <c r="E1" s="145"/>
      <c r="F1" s="145"/>
      <c r="G1" s="145"/>
      <c r="H1" s="270"/>
      <c r="I1" s="122"/>
      <c r="J1" s="122"/>
      <c r="K1" s="91" t="s">
        <v>200</v>
      </c>
      <c r="L1" s="91"/>
    </row>
    <row r="2" spans="1:14">
      <c r="A2" s="145" t="s">
        <v>12</v>
      </c>
      <c r="B2" s="145"/>
      <c r="C2" s="145"/>
      <c r="D2" s="145"/>
      <c r="E2" s="145"/>
      <c r="F2" s="145"/>
      <c r="G2" s="145"/>
      <c r="H2" s="270"/>
      <c r="I2" s="122"/>
      <c r="J2" s="122"/>
      <c r="K2" s="146" t="str">
        <f ca="1">RIGHT(CELL("filename",$A$1),LEN(CELL("filename",$A$1))-SEARCH("\Taxes",CELL("filename",$A$1),1))</f>
        <v>Taxes\[KAWC 2018 Rate Case - Income Tax Exhibit.xlsx]E-1.2 State Inc Tax Base</v>
      </c>
      <c r="L2" s="146"/>
    </row>
    <row r="3" spans="1:14">
      <c r="A3" s="122"/>
      <c r="B3" s="122"/>
      <c r="C3" s="122"/>
      <c r="D3" s="122"/>
      <c r="E3" s="122"/>
      <c r="F3" s="122"/>
      <c r="G3" s="122"/>
      <c r="H3" s="123"/>
      <c r="I3" s="122"/>
      <c r="J3" s="122"/>
      <c r="K3" s="122"/>
      <c r="L3" s="122"/>
    </row>
    <row r="4" spans="1:14">
      <c r="A4" s="406" t="str">
        <f>'Link In'!A1</f>
        <v>Kentucky American Water Company</v>
      </c>
      <c r="B4" s="406"/>
      <c r="C4" s="406"/>
      <c r="D4" s="406"/>
      <c r="E4" s="406"/>
      <c r="F4" s="406"/>
      <c r="G4" s="406"/>
      <c r="H4" s="406"/>
      <c r="I4" s="406"/>
      <c r="J4" s="406"/>
      <c r="K4" s="406"/>
      <c r="L4" s="122"/>
    </row>
    <row r="5" spans="1:14">
      <c r="A5" s="406" t="str">
        <f>'Link In'!A3</f>
        <v>Case No. 2018-00358</v>
      </c>
      <c r="B5" s="406"/>
      <c r="C5" s="406"/>
      <c r="D5" s="406"/>
      <c r="E5" s="406"/>
      <c r="F5" s="406"/>
      <c r="G5" s="406"/>
      <c r="H5" s="406"/>
      <c r="I5" s="406"/>
      <c r="J5" s="406"/>
      <c r="K5" s="406"/>
      <c r="L5" s="134"/>
    </row>
    <row r="6" spans="1:14">
      <c r="A6" s="406" t="str">
        <f>'Link In'!A34</f>
        <v>Base Year Adjustment Federal and State Taxes</v>
      </c>
      <c r="B6" s="406"/>
      <c r="C6" s="406"/>
      <c r="D6" s="406"/>
      <c r="E6" s="406"/>
      <c r="F6" s="406"/>
      <c r="G6" s="406"/>
      <c r="H6" s="406"/>
      <c r="I6" s="406"/>
      <c r="J6" s="406"/>
      <c r="K6" s="406"/>
      <c r="L6" s="134"/>
    </row>
    <row r="7" spans="1:14">
      <c r="A7" s="406" t="str">
        <f>'Link In'!A7</f>
        <v>Base Year for the 12 Months Ended February 28, 2019</v>
      </c>
      <c r="B7" s="406"/>
      <c r="C7" s="406"/>
      <c r="D7" s="406"/>
      <c r="E7" s="406"/>
      <c r="F7" s="406"/>
      <c r="G7" s="406"/>
      <c r="H7" s="406"/>
      <c r="I7" s="406"/>
      <c r="J7" s="406"/>
      <c r="K7" s="406"/>
      <c r="L7" s="134"/>
    </row>
    <row r="8" spans="1:14">
      <c r="A8" s="122"/>
      <c r="B8" s="122"/>
      <c r="C8" s="122"/>
      <c r="D8" s="122"/>
      <c r="E8" s="122"/>
      <c r="F8" s="122"/>
      <c r="G8" s="122"/>
      <c r="H8" s="123"/>
      <c r="I8" s="122"/>
      <c r="J8" s="122"/>
      <c r="K8" s="122"/>
      <c r="L8" s="134"/>
    </row>
    <row r="9" spans="1:14">
      <c r="A9" s="299" t="str">
        <f>'Link In'!A28</f>
        <v>Witness Responsible:   John Wilde</v>
      </c>
      <c r="B9" s="122"/>
      <c r="C9" s="122"/>
      <c r="D9" s="122"/>
      <c r="E9" s="122"/>
      <c r="F9" s="122"/>
      <c r="G9" s="122"/>
      <c r="H9" s="123"/>
      <c r="I9" s="122"/>
      <c r="J9" s="122"/>
      <c r="K9" s="299" t="str">
        <f>'Link In'!A36</f>
        <v>W/P - 6-1</v>
      </c>
      <c r="L9" s="134"/>
    </row>
    <row r="10" spans="1:14">
      <c r="A10" s="299" t="str">
        <f>'Link In'!A15</f>
        <v>Type of Filing: __X__ Original  _____ Updated  _____ Revised</v>
      </c>
      <c r="B10" s="122"/>
      <c r="C10" s="122"/>
      <c r="D10" s="122"/>
      <c r="E10" s="122"/>
      <c r="F10" s="122"/>
      <c r="G10" s="122"/>
      <c r="H10" s="123"/>
      <c r="I10" s="122"/>
      <c r="J10" s="122"/>
      <c r="K10" s="122"/>
      <c r="L10" s="122"/>
    </row>
    <row r="11" spans="1:14" ht="15.6">
      <c r="A11" s="36"/>
      <c r="B11" s="9"/>
      <c r="C11" s="9"/>
      <c r="D11" s="9"/>
      <c r="E11" s="9"/>
      <c r="F11" s="9"/>
      <c r="G11" s="9"/>
      <c r="I11" s="9"/>
      <c r="J11" s="9"/>
      <c r="K11" s="9"/>
      <c r="L11" s="37"/>
    </row>
    <row r="12" spans="1:14" ht="15.6">
      <c r="A12" s="36"/>
      <c r="B12" s="9"/>
      <c r="C12" s="9"/>
      <c r="D12" s="9"/>
      <c r="E12" s="9"/>
      <c r="F12" s="9"/>
      <c r="G12" s="9"/>
      <c r="I12" s="9"/>
      <c r="J12" s="9"/>
      <c r="K12" s="9"/>
      <c r="L12" s="37"/>
    </row>
    <row r="13" spans="1:14">
      <c r="A13" s="9"/>
      <c r="B13" s="9"/>
      <c r="C13" s="9"/>
      <c r="D13" s="9"/>
      <c r="E13" s="9"/>
      <c r="F13" s="9"/>
      <c r="G13" s="20" t="s">
        <v>34</v>
      </c>
      <c r="I13" s="9"/>
      <c r="J13" s="9"/>
      <c r="K13" s="9"/>
      <c r="L13" s="9"/>
    </row>
    <row r="14" spans="1:14">
      <c r="A14" s="9"/>
      <c r="B14" s="9"/>
      <c r="C14" s="9"/>
      <c r="D14" s="9"/>
      <c r="E14" s="9"/>
      <c r="F14" s="9"/>
      <c r="G14" s="21" t="s">
        <v>90</v>
      </c>
      <c r="H14" s="275"/>
      <c r="I14" s="21"/>
      <c r="J14" s="9"/>
      <c r="K14" s="21" t="s">
        <v>36</v>
      </c>
      <c r="L14" s="9"/>
    </row>
    <row r="15" spans="1:14">
      <c r="A15" s="19" t="s">
        <v>7</v>
      </c>
      <c r="B15" s="20"/>
      <c r="C15" s="19" t="s">
        <v>37</v>
      </c>
      <c r="D15" s="21"/>
      <c r="E15" s="19" t="s">
        <v>38</v>
      </c>
      <c r="F15" s="21"/>
      <c r="G15" s="19" t="s">
        <v>39</v>
      </c>
      <c r="H15" s="275"/>
      <c r="I15" s="19" t="s">
        <v>40</v>
      </c>
      <c r="J15" s="9"/>
      <c r="K15" s="19" t="s">
        <v>39</v>
      </c>
      <c r="L15" s="9"/>
      <c r="M15" s="9"/>
      <c r="N15" s="9"/>
    </row>
    <row r="16" spans="1:14">
      <c r="A16" s="24">
        <v>1</v>
      </c>
      <c r="B16" s="9"/>
      <c r="C16" s="14" t="s">
        <v>41</v>
      </c>
      <c r="D16" s="9"/>
      <c r="E16" s="14"/>
      <c r="F16" s="9"/>
      <c r="G16" s="9"/>
      <c r="I16" s="9"/>
      <c r="J16" s="9"/>
      <c r="K16" s="9"/>
      <c r="L16" s="9"/>
      <c r="M16" s="9"/>
      <c r="N16" s="9"/>
    </row>
    <row r="17" spans="1:15">
      <c r="A17" s="24">
        <v>2</v>
      </c>
      <c r="B17" s="9"/>
      <c r="C17" s="14"/>
      <c r="D17" s="9"/>
      <c r="E17" s="9" t="s">
        <v>42</v>
      </c>
      <c r="F17" s="9"/>
      <c r="G17" s="184">
        <f>'Link In'!B98</f>
        <v>91907987</v>
      </c>
      <c r="H17" s="309"/>
      <c r="I17" s="184">
        <v>0</v>
      </c>
      <c r="J17" s="184"/>
      <c r="K17" s="156">
        <f>G17+I17</f>
        <v>91907987</v>
      </c>
      <c r="L17" s="9"/>
      <c r="M17" s="9"/>
      <c r="N17" s="9"/>
    </row>
    <row r="18" spans="1:15">
      <c r="A18" s="24">
        <v>3</v>
      </c>
      <c r="B18" s="9"/>
      <c r="C18" s="14"/>
      <c r="D18" s="9"/>
      <c r="E18" s="9"/>
      <c r="F18" s="9"/>
      <c r="G18" s="10"/>
      <c r="H18" s="269"/>
      <c r="I18" s="9"/>
      <c r="J18" s="9"/>
      <c r="K18" s="160"/>
      <c r="L18" s="9"/>
      <c r="M18" s="9"/>
      <c r="N18" s="9"/>
    </row>
    <row r="19" spans="1:15">
      <c r="A19" s="24">
        <v>4</v>
      </c>
      <c r="B19" s="9"/>
      <c r="C19" s="14" t="s">
        <v>43</v>
      </c>
      <c r="D19" s="9"/>
      <c r="E19" s="14"/>
      <c r="F19" s="9"/>
      <c r="G19" s="9"/>
      <c r="H19" s="269"/>
      <c r="I19" s="9"/>
      <c r="J19" s="9"/>
      <c r="K19" s="160"/>
      <c r="L19" s="9"/>
      <c r="M19" s="9"/>
      <c r="N19" s="9"/>
    </row>
    <row r="20" spans="1:15">
      <c r="A20" s="24">
        <v>5</v>
      </c>
      <c r="B20" s="9"/>
      <c r="C20" s="9"/>
      <c r="D20" s="9"/>
      <c r="E20" s="9" t="s">
        <v>44</v>
      </c>
      <c r="F20" s="9"/>
      <c r="G20" s="174">
        <f>-'Link In'!$B$103</f>
        <v>-34285634</v>
      </c>
      <c r="H20" s="269"/>
      <c r="I20" s="163">
        <v>0</v>
      </c>
      <c r="J20" s="9"/>
      <c r="K20" s="160">
        <f>G20+I20</f>
        <v>-34285634</v>
      </c>
      <c r="L20" s="15"/>
      <c r="M20" s="35"/>
      <c r="N20" s="15"/>
    </row>
    <row r="21" spans="1:15">
      <c r="A21" s="24">
        <v>6</v>
      </c>
      <c r="B21" s="9"/>
      <c r="C21" s="9"/>
      <c r="D21" s="9"/>
      <c r="E21" s="9" t="s">
        <v>45</v>
      </c>
      <c r="F21" s="9"/>
      <c r="G21" s="174">
        <f>-SUM('Link In'!$B$104:$B$107)</f>
        <v>-16551585</v>
      </c>
      <c r="H21" s="269"/>
      <c r="I21" s="163">
        <v>0</v>
      </c>
      <c r="J21" s="9"/>
      <c r="K21" s="160">
        <f>G21+I21</f>
        <v>-16551585</v>
      </c>
      <c r="L21" s="15"/>
      <c r="M21" s="15"/>
      <c r="N21" s="15"/>
    </row>
    <row r="22" spans="1:15">
      <c r="A22" s="24">
        <v>7</v>
      </c>
      <c r="B22" s="9"/>
      <c r="C22" s="9"/>
      <c r="D22" s="9"/>
      <c r="E22" s="9" t="s">
        <v>46</v>
      </c>
      <c r="F22" s="9"/>
      <c r="G22" s="174">
        <f>-'Link In'!$B$111</f>
        <v>-7362427</v>
      </c>
      <c r="H22" s="269"/>
      <c r="I22" s="163">
        <v>0</v>
      </c>
      <c r="J22" s="9"/>
      <c r="K22" s="160">
        <f>G22+I22</f>
        <v>-7362427</v>
      </c>
      <c r="L22" s="15"/>
      <c r="M22" s="15"/>
      <c r="N22" s="15"/>
    </row>
    <row r="23" spans="1:15">
      <c r="A23" s="121">
        <v>9</v>
      </c>
      <c r="B23" s="9"/>
      <c r="C23" s="9"/>
      <c r="D23" s="9"/>
      <c r="E23" s="11" t="s">
        <v>48</v>
      </c>
      <c r="F23" s="15"/>
      <c r="G23" s="264">
        <f>-'Link In'!L119</f>
        <v>-12918317.101990042</v>
      </c>
      <c r="H23" s="269"/>
      <c r="I23" s="308">
        <v>0</v>
      </c>
      <c r="J23" s="9"/>
      <c r="K23" s="317">
        <f>G23+I23</f>
        <v>-12918317.101990042</v>
      </c>
      <c r="L23" s="15"/>
      <c r="M23" s="15"/>
      <c r="N23" s="15"/>
    </row>
    <row r="24" spans="1:15">
      <c r="A24" s="121">
        <v>10</v>
      </c>
      <c r="B24" s="9"/>
      <c r="C24" s="9"/>
      <c r="D24" s="9"/>
      <c r="E24" s="16" t="s">
        <v>49</v>
      </c>
      <c r="F24" s="15"/>
      <c r="G24" s="310">
        <f>SUM(G20:G23)</f>
        <v>-71117963.101990044</v>
      </c>
      <c r="H24" s="276"/>
      <c r="I24" s="310">
        <f>SUM(I20:I23)</f>
        <v>0</v>
      </c>
      <c r="J24" s="9"/>
      <c r="K24" s="311">
        <f>SUM(K20:K23)</f>
        <v>-71117963.101990044</v>
      </c>
      <c r="L24" s="15"/>
      <c r="M24" s="15"/>
      <c r="N24" s="15"/>
    </row>
    <row r="25" spans="1:15">
      <c r="A25" s="121">
        <v>11</v>
      </c>
      <c r="B25" s="9"/>
      <c r="C25" s="9"/>
      <c r="D25" s="9"/>
      <c r="E25" s="16"/>
      <c r="F25" s="15"/>
      <c r="G25" s="286"/>
      <c r="H25" s="269"/>
      <c r="I25" s="9"/>
      <c r="J25" s="9"/>
      <c r="K25" s="156"/>
      <c r="L25" s="15"/>
      <c r="M25" s="15"/>
      <c r="N25" s="15"/>
    </row>
    <row r="26" spans="1:15">
      <c r="A26" s="121">
        <v>12</v>
      </c>
      <c r="B26" s="9"/>
      <c r="C26" s="9"/>
      <c r="D26" s="9"/>
      <c r="E26" s="16" t="s">
        <v>50</v>
      </c>
      <c r="F26" s="9"/>
      <c r="G26" s="310">
        <f>SUM(G17+G24)</f>
        <v>20790023.898009956</v>
      </c>
      <c r="H26" s="276"/>
      <c r="I26" s="310">
        <f>SUM(I17+I24)</f>
        <v>0</v>
      </c>
      <c r="J26" s="9"/>
      <c r="K26" s="311">
        <f>SUM(K17+K24)</f>
        <v>20790023.898009956</v>
      </c>
      <c r="L26" s="15"/>
      <c r="M26" s="15"/>
      <c r="N26" s="15"/>
    </row>
    <row r="27" spans="1:15" s="302" customFormat="1">
      <c r="A27" s="121">
        <v>13.1272727272727</v>
      </c>
      <c r="E27" s="89"/>
      <c r="G27" s="310"/>
      <c r="H27" s="276"/>
      <c r="I27" s="310"/>
      <c r="K27" s="311"/>
      <c r="L27" s="227"/>
      <c r="M27" s="227"/>
      <c r="N27" s="227"/>
    </row>
    <row r="28" spans="1:15" s="302" customFormat="1">
      <c r="A28" s="121">
        <v>14.254545454545401</v>
      </c>
      <c r="E28" s="227" t="s">
        <v>238</v>
      </c>
      <c r="G28" s="386">
        <f>-G71</f>
        <v>62971</v>
      </c>
      <c r="H28" s="269"/>
      <c r="I28" s="160">
        <v>0</v>
      </c>
      <c r="J28" s="303"/>
      <c r="K28" s="387">
        <f>-K71</f>
        <v>62971</v>
      </c>
      <c r="L28" s="227"/>
      <c r="M28" s="227"/>
      <c r="N28" s="227"/>
    </row>
    <row r="29" spans="1:15">
      <c r="A29" s="121">
        <v>15.3818181818182</v>
      </c>
      <c r="B29" s="9"/>
      <c r="C29" s="9"/>
      <c r="D29" s="9"/>
      <c r="E29" s="9"/>
      <c r="F29" s="9"/>
      <c r="G29" s="257"/>
      <c r="H29" s="269"/>
      <c r="I29" s="9"/>
      <c r="J29" s="9"/>
      <c r="K29" s="9"/>
      <c r="L29" s="15"/>
      <c r="M29" s="15"/>
      <c r="N29" s="15"/>
    </row>
    <row r="30" spans="1:15">
      <c r="A30" s="121">
        <v>16.509090909090901</v>
      </c>
      <c r="B30" s="9"/>
      <c r="C30" s="14" t="s">
        <v>51</v>
      </c>
      <c r="D30" s="9"/>
      <c r="E30" s="9"/>
      <c r="F30" s="9"/>
      <c r="G30" s="257"/>
      <c r="H30" s="269"/>
      <c r="I30" s="9"/>
      <c r="J30" s="9"/>
      <c r="K30" s="9"/>
      <c r="L30" s="15"/>
      <c r="M30" s="15"/>
      <c r="N30" s="15"/>
    </row>
    <row r="31" spans="1:15" ht="28.8">
      <c r="A31" s="121">
        <v>17.636363636363601</v>
      </c>
      <c r="B31" s="9"/>
      <c r="C31" s="9"/>
      <c r="D31" s="9"/>
      <c r="E31" s="30" t="s">
        <v>52</v>
      </c>
      <c r="F31" s="9"/>
      <c r="G31" s="257"/>
      <c r="H31" s="269"/>
      <c r="I31" s="9"/>
      <c r="J31" s="9"/>
      <c r="K31" s="9"/>
      <c r="L31" s="15"/>
      <c r="M31" s="15"/>
      <c r="N31" s="15"/>
      <c r="O31" s="227"/>
    </row>
    <row r="32" spans="1:15">
      <c r="A32" s="121">
        <v>18.763636363636301</v>
      </c>
      <c r="B32" s="9"/>
      <c r="C32" s="9"/>
      <c r="D32" s="9"/>
      <c r="E32" s="13" t="s">
        <v>53</v>
      </c>
      <c r="F32" s="9"/>
      <c r="G32" s="263">
        <f>(+'Link In'!B124)*0.5</f>
        <v>17811</v>
      </c>
      <c r="H32" s="269"/>
      <c r="I32" s="163">
        <v>0</v>
      </c>
      <c r="J32" s="9"/>
      <c r="K32" s="160">
        <f>G32+I32</f>
        <v>17811</v>
      </c>
      <c r="L32" s="15"/>
      <c r="M32" s="15"/>
      <c r="N32" s="15"/>
    </row>
    <row r="33" spans="1:14">
      <c r="A33" s="121">
        <v>19.890909090909101</v>
      </c>
      <c r="B33" s="9"/>
      <c r="C33" s="9"/>
      <c r="D33" s="9"/>
      <c r="E33" s="17" t="s">
        <v>54</v>
      </c>
      <c r="F33" s="9"/>
      <c r="G33" s="264">
        <f>'Link In'!G118</f>
        <v>190916.16872400002</v>
      </c>
      <c r="H33" s="269"/>
      <c r="I33" s="308">
        <v>0</v>
      </c>
      <c r="J33" s="9"/>
      <c r="K33" s="317">
        <f>G33+I33</f>
        <v>190916.16872400002</v>
      </c>
      <c r="L33" s="41"/>
      <c r="M33" s="15"/>
      <c r="N33" s="15"/>
    </row>
    <row r="34" spans="1:14">
      <c r="A34" s="121">
        <v>21.018181818181802</v>
      </c>
      <c r="B34" s="9"/>
      <c r="C34" s="9"/>
      <c r="D34" s="9"/>
      <c r="E34" s="18" t="s">
        <v>55</v>
      </c>
      <c r="F34" s="9"/>
      <c r="G34" s="312">
        <f>SUM(G26+G32+G33+G28)</f>
        <v>21061722.066733956</v>
      </c>
      <c r="H34" s="269"/>
      <c r="I34" s="312">
        <f>SUM(I26+I32+I33+I28)</f>
        <v>0</v>
      </c>
      <c r="J34" s="9"/>
      <c r="K34" s="312">
        <f>SUM(K26+K32+K33+K28)</f>
        <v>21061722.066733956</v>
      </c>
      <c r="L34" s="42"/>
      <c r="M34" s="15"/>
      <c r="N34" s="15"/>
    </row>
    <row r="35" spans="1:14">
      <c r="A35" s="121">
        <v>22.145454545454498</v>
      </c>
      <c r="B35" s="9"/>
      <c r="C35" s="9"/>
      <c r="D35" s="9"/>
      <c r="E35" s="9"/>
      <c r="F35" s="9"/>
      <c r="G35" s="257"/>
      <c r="H35" s="269"/>
      <c r="I35" s="9"/>
      <c r="J35" s="9"/>
      <c r="K35" s="9"/>
      <c r="L35" s="15"/>
      <c r="M35" s="15"/>
      <c r="N35" s="15"/>
    </row>
    <row r="36" spans="1:14" ht="28.8">
      <c r="A36" s="121">
        <v>23.272727272727199</v>
      </c>
      <c r="B36" s="9"/>
      <c r="C36" s="23"/>
      <c r="D36" s="23"/>
      <c r="E36" s="33" t="s">
        <v>56</v>
      </c>
      <c r="F36" s="23"/>
      <c r="G36" s="257"/>
      <c r="H36" s="269"/>
      <c r="I36" s="163"/>
      <c r="J36" s="9"/>
      <c r="K36" s="9"/>
      <c r="L36" s="15"/>
      <c r="M36" s="15"/>
      <c r="N36" s="15"/>
    </row>
    <row r="37" spans="1:14">
      <c r="A37" s="121">
        <v>24.4</v>
      </c>
      <c r="B37" s="9"/>
      <c r="C37" s="34"/>
      <c r="D37" s="23"/>
      <c r="E37" s="31" t="s">
        <v>57</v>
      </c>
      <c r="F37" s="23"/>
      <c r="G37" s="263">
        <f>-'Link In'!B127</f>
        <v>-15800186.060154952</v>
      </c>
      <c r="H37" s="174"/>
      <c r="I37" s="163">
        <v>0</v>
      </c>
      <c r="J37" s="9"/>
      <c r="K37" s="160">
        <f t="shared" ref="K37:K47" si="0">G37+I37</f>
        <v>-15800186.060154952</v>
      </c>
      <c r="L37" s="15"/>
      <c r="M37" s="15"/>
      <c r="N37" s="15"/>
    </row>
    <row r="38" spans="1:14">
      <c r="A38" s="121">
        <v>25.527272727272699</v>
      </c>
      <c r="B38" s="9"/>
      <c r="C38" s="34"/>
      <c r="D38" s="23"/>
      <c r="E38" s="31" t="s">
        <v>58</v>
      </c>
      <c r="F38" s="23"/>
      <c r="G38" s="263">
        <f>'Link In'!B129</f>
        <v>15774618.059483834</v>
      </c>
      <c r="H38" s="174"/>
      <c r="I38" s="163">
        <v>0</v>
      </c>
      <c r="J38" s="9"/>
      <c r="K38" s="160">
        <f t="shared" si="0"/>
        <v>15774618.059483834</v>
      </c>
      <c r="L38" s="15"/>
      <c r="M38" s="15"/>
      <c r="N38" s="15"/>
    </row>
    <row r="39" spans="1:14">
      <c r="A39" s="121">
        <v>26.654545454545399</v>
      </c>
      <c r="B39" s="9"/>
      <c r="C39" s="34"/>
      <c r="D39" s="23"/>
      <c r="E39" s="31" t="s">
        <v>59</v>
      </c>
      <c r="F39" s="23"/>
      <c r="G39" s="261">
        <f>'Link In'!B131</f>
        <v>57084</v>
      </c>
      <c r="H39" s="174"/>
      <c r="I39" s="163">
        <v>0</v>
      </c>
      <c r="J39" s="9"/>
      <c r="K39" s="160">
        <f t="shared" si="0"/>
        <v>57084</v>
      </c>
      <c r="L39" s="15"/>
      <c r="M39" s="15"/>
      <c r="N39" s="15"/>
    </row>
    <row r="40" spans="1:14">
      <c r="A40" s="121">
        <v>27.7818181818181</v>
      </c>
      <c r="B40" s="9"/>
      <c r="C40" s="34"/>
      <c r="D40" s="23"/>
      <c r="E40" s="31" t="s">
        <v>60</v>
      </c>
      <c r="F40" s="23"/>
      <c r="G40" s="174">
        <v>0</v>
      </c>
      <c r="H40" s="174"/>
      <c r="I40" s="163">
        <v>0</v>
      </c>
      <c r="J40" s="9"/>
      <c r="K40" s="160">
        <f t="shared" si="0"/>
        <v>0</v>
      </c>
      <c r="L40" s="15"/>
      <c r="M40" s="15"/>
      <c r="N40" s="15"/>
    </row>
    <row r="41" spans="1:14">
      <c r="A41" s="121">
        <v>28.909090909090899</v>
      </c>
      <c r="B41" s="9"/>
      <c r="C41" s="34"/>
      <c r="D41" s="23"/>
      <c r="E41" s="31" t="s">
        <v>61</v>
      </c>
      <c r="F41" s="23"/>
      <c r="G41" s="261">
        <f>'Link In'!B133</f>
        <v>839228</v>
      </c>
      <c r="H41" s="174"/>
      <c r="I41" s="163">
        <v>0</v>
      </c>
      <c r="J41" s="9"/>
      <c r="K41" s="160">
        <f t="shared" si="0"/>
        <v>839228</v>
      </c>
      <c r="L41" s="15"/>
      <c r="M41" s="15"/>
      <c r="N41" s="15"/>
    </row>
    <row r="42" spans="1:14">
      <c r="A42" s="121">
        <v>30.0363636363636</v>
      </c>
      <c r="B42" s="9"/>
      <c r="C42" s="34"/>
      <c r="D42" s="23"/>
      <c r="E42" s="31" t="s">
        <v>62</v>
      </c>
      <c r="F42" s="23"/>
      <c r="G42" s="158">
        <f>-'Link In'!B134</f>
        <v>-2547540.2398888841</v>
      </c>
      <c r="H42" s="174"/>
      <c r="I42" s="163">
        <v>0</v>
      </c>
      <c r="J42" s="9"/>
      <c r="K42" s="160">
        <f t="shared" si="0"/>
        <v>-2547540.2398888841</v>
      </c>
      <c r="L42" s="15"/>
      <c r="M42" s="15"/>
      <c r="N42" s="15"/>
    </row>
    <row r="43" spans="1:14">
      <c r="A43" s="121">
        <v>31.1636363636363</v>
      </c>
      <c r="B43" s="9"/>
      <c r="C43" s="34"/>
      <c r="D43" s="23"/>
      <c r="E43" s="31" t="s">
        <v>63</v>
      </c>
      <c r="F43" s="23"/>
      <c r="G43" s="261">
        <f>'Link In'!B137</f>
        <v>-2228479</v>
      </c>
      <c r="H43" s="174"/>
      <c r="I43" s="163">
        <v>0</v>
      </c>
      <c r="J43" s="9"/>
      <c r="K43" s="160">
        <f t="shared" si="0"/>
        <v>-2228479</v>
      </c>
      <c r="L43" s="15"/>
      <c r="M43" s="15"/>
      <c r="N43" s="15"/>
    </row>
    <row r="44" spans="1:14">
      <c r="A44" s="121">
        <v>32.290909090909103</v>
      </c>
      <c r="B44" s="9"/>
      <c r="C44" s="34"/>
      <c r="D44" s="23"/>
      <c r="E44" s="31" t="s">
        <v>64</v>
      </c>
      <c r="F44" s="23"/>
      <c r="G44" s="261">
        <f>'Link In'!B138</f>
        <v>7550060.3718294473</v>
      </c>
      <c r="H44" s="174"/>
      <c r="I44" s="163">
        <v>0</v>
      </c>
      <c r="J44" s="9"/>
      <c r="K44" s="160">
        <f t="shared" si="0"/>
        <v>7550060.3718294473</v>
      </c>
      <c r="L44" s="15"/>
      <c r="M44" s="15"/>
      <c r="N44" s="15"/>
    </row>
    <row r="45" spans="1:14">
      <c r="A45" s="121">
        <v>33.4181818181818</v>
      </c>
      <c r="B45" s="9"/>
      <c r="C45" s="34"/>
      <c r="D45" s="23"/>
      <c r="E45" s="31" t="s">
        <v>65</v>
      </c>
      <c r="F45" s="23"/>
      <c r="G45" s="261">
        <f>-'Link In'!B139</f>
        <v>-4902748.4633657346</v>
      </c>
      <c r="H45" s="174"/>
      <c r="I45" s="163">
        <v>0</v>
      </c>
      <c r="J45" s="9"/>
      <c r="K45" s="160">
        <f t="shared" si="0"/>
        <v>-4902748.4633657346</v>
      </c>
      <c r="L45" s="15"/>
      <c r="M45" s="15"/>
      <c r="N45" s="15"/>
    </row>
    <row r="46" spans="1:14">
      <c r="A46" s="121">
        <v>34.545454545454497</v>
      </c>
      <c r="B46" s="9"/>
      <c r="C46" s="34"/>
      <c r="D46" s="23"/>
      <c r="E46" s="31" t="s">
        <v>89</v>
      </c>
      <c r="F46" s="23"/>
      <c r="G46" s="261">
        <f>'Link In'!B140</f>
        <v>2841122</v>
      </c>
      <c r="H46" s="174"/>
      <c r="I46" s="163">
        <v>0</v>
      </c>
      <c r="J46" s="9"/>
      <c r="K46" s="160">
        <f t="shared" si="0"/>
        <v>2841122</v>
      </c>
      <c r="L46" s="15"/>
      <c r="M46" s="15"/>
      <c r="N46" s="15"/>
    </row>
    <row r="47" spans="1:14">
      <c r="A47" s="121">
        <v>35.672727272727201</v>
      </c>
      <c r="B47" s="9"/>
      <c r="C47" s="34"/>
      <c r="D47" s="23"/>
      <c r="E47" s="26" t="s">
        <v>66</v>
      </c>
      <c r="F47" s="23"/>
      <c r="G47" s="278">
        <f>-'Link In'!B141</f>
        <v>-1446898.2883333336</v>
      </c>
      <c r="H47" s="174"/>
      <c r="I47" s="308">
        <v>0</v>
      </c>
      <c r="J47" s="9"/>
      <c r="K47" s="317">
        <f t="shared" si="0"/>
        <v>-1446898.2883333336</v>
      </c>
      <c r="L47" s="15"/>
      <c r="M47" s="15"/>
      <c r="N47" s="15"/>
    </row>
    <row r="48" spans="1:14">
      <c r="A48" s="121">
        <v>36.799999999999997</v>
      </c>
      <c r="B48" s="9"/>
      <c r="C48" s="23"/>
      <c r="D48" s="23"/>
      <c r="E48" s="16" t="s">
        <v>67</v>
      </c>
      <c r="F48" s="23"/>
      <c r="G48" s="158">
        <f>SUM(G37:G47)</f>
        <v>136260.37957037659</v>
      </c>
      <c r="H48" s="269"/>
      <c r="I48" s="158">
        <f>SUM(I37:I47)</f>
        <v>0</v>
      </c>
      <c r="J48" s="39"/>
      <c r="K48" s="156">
        <f>SUM(K37:K47)</f>
        <v>136260.37957037659</v>
      </c>
      <c r="L48" s="15"/>
      <c r="M48" s="15"/>
      <c r="N48" s="15"/>
    </row>
    <row r="49" spans="1:14">
      <c r="A49" s="121">
        <v>37.927272727272701</v>
      </c>
      <c r="B49" s="9"/>
      <c r="C49" s="23"/>
      <c r="D49" s="23"/>
      <c r="E49" s="23"/>
      <c r="F49" s="23"/>
      <c r="G49" s="257"/>
      <c r="H49" s="269"/>
      <c r="I49" s="9"/>
      <c r="J49" s="9"/>
      <c r="K49" s="9"/>
      <c r="L49" s="15"/>
      <c r="M49" s="15"/>
      <c r="N49" s="15"/>
    </row>
    <row r="50" spans="1:14" ht="15" thickBot="1">
      <c r="A50" s="121">
        <v>39.054545454545398</v>
      </c>
      <c r="B50" s="9"/>
      <c r="C50" s="9"/>
      <c r="D50" s="9"/>
      <c r="E50" s="16" t="s">
        <v>68</v>
      </c>
      <c r="F50" s="9"/>
      <c r="G50" s="313">
        <f>SUM(G34+G48)</f>
        <v>21197982.446304332</v>
      </c>
      <c r="H50" s="269"/>
      <c r="I50" s="313">
        <f>SUM(I34+I48)</f>
        <v>0</v>
      </c>
      <c r="J50" s="9"/>
      <c r="K50" s="285">
        <f>SUM(K34+K48)</f>
        <v>21197982.446304332</v>
      </c>
      <c r="L50" s="15"/>
      <c r="M50" s="15"/>
      <c r="N50" s="15"/>
    </row>
    <row r="51" spans="1:14" ht="15" thickTop="1">
      <c r="A51" s="121">
        <v>40.181818181818102</v>
      </c>
      <c r="B51" s="9"/>
      <c r="C51" s="9"/>
      <c r="D51" s="9"/>
      <c r="E51" s="25"/>
      <c r="F51" s="9"/>
      <c r="G51" s="279"/>
      <c r="H51" s="269"/>
      <c r="I51" s="9"/>
      <c r="J51" s="9"/>
      <c r="K51" s="9"/>
      <c r="L51" s="15"/>
      <c r="M51" s="15"/>
      <c r="N51" s="15"/>
    </row>
    <row r="52" spans="1:14">
      <c r="A52" s="121">
        <v>41.309090909090898</v>
      </c>
      <c r="B52" s="9"/>
      <c r="C52" s="14" t="s">
        <v>91</v>
      </c>
      <c r="D52" s="9"/>
      <c r="E52" s="25"/>
      <c r="F52" s="9"/>
      <c r="G52" s="280"/>
      <c r="H52" s="269"/>
      <c r="I52" s="9"/>
      <c r="J52" s="9"/>
      <c r="K52" s="9"/>
      <c r="L52" s="15"/>
      <c r="M52" s="15"/>
      <c r="N52" s="15"/>
    </row>
    <row r="53" spans="1:14">
      <c r="A53" s="121">
        <v>42.436363636363602</v>
      </c>
      <c r="B53" s="9"/>
      <c r="C53" s="9"/>
      <c r="D53" s="9"/>
      <c r="E53" s="26" t="s">
        <v>70</v>
      </c>
      <c r="F53" s="9"/>
      <c r="G53" s="281">
        <v>0.05</v>
      </c>
      <c r="H53" s="277"/>
      <c r="I53" s="281">
        <v>0.05</v>
      </c>
      <c r="J53" s="9"/>
      <c r="K53" s="281">
        <v>0.05</v>
      </c>
      <c r="L53" s="15"/>
      <c r="M53" s="15"/>
      <c r="N53" s="15"/>
    </row>
    <row r="54" spans="1:14">
      <c r="A54" s="121">
        <v>43.563636363636299</v>
      </c>
      <c r="B54" s="9"/>
      <c r="C54" s="9"/>
      <c r="D54" s="9"/>
      <c r="E54" s="29" t="s">
        <v>71</v>
      </c>
      <c r="F54" s="14"/>
      <c r="G54" s="272">
        <f>G50*G53</f>
        <v>1059899.1223152166</v>
      </c>
      <c r="H54" s="269"/>
      <c r="I54" s="38">
        <v>0</v>
      </c>
      <c r="J54" s="9"/>
      <c r="K54" s="160">
        <f>G54+I54</f>
        <v>1059899.1223152166</v>
      </c>
      <c r="L54" s="15"/>
      <c r="M54" s="15"/>
      <c r="N54" s="15"/>
    </row>
    <row r="55" spans="1:14">
      <c r="A55" s="121">
        <v>44.690909090909102</v>
      </c>
      <c r="B55" s="9"/>
      <c r="C55" s="9"/>
      <c r="D55" s="9"/>
      <c r="E55" s="25" t="s">
        <v>72</v>
      </c>
      <c r="F55" s="14"/>
      <c r="G55" s="174"/>
      <c r="H55" s="269"/>
      <c r="I55" s="38"/>
      <c r="J55" s="9"/>
      <c r="K55" s="160">
        <f>G55+I55</f>
        <v>0</v>
      </c>
      <c r="L55" s="15"/>
      <c r="M55" s="15"/>
      <c r="N55" s="15"/>
    </row>
    <row r="56" spans="1:14">
      <c r="A56" s="121">
        <v>45.818181818181799</v>
      </c>
      <c r="B56" s="9"/>
      <c r="C56" s="9"/>
      <c r="D56" s="9"/>
      <c r="E56" s="29" t="s">
        <v>73</v>
      </c>
      <c r="F56" s="14"/>
      <c r="G56" s="273">
        <f>G54+G55</f>
        <v>1059899.1223152166</v>
      </c>
      <c r="H56" s="269"/>
      <c r="I56" s="163">
        <f>I54+I55</f>
        <v>0</v>
      </c>
      <c r="J56" s="9"/>
      <c r="K56" s="163">
        <f>K54+K55</f>
        <v>1059899.1223152166</v>
      </c>
      <c r="L56" s="15"/>
      <c r="M56" s="15"/>
      <c r="N56" s="15"/>
    </row>
    <row r="57" spans="1:14">
      <c r="A57" s="121">
        <v>46.945454545454503</v>
      </c>
      <c r="B57" s="9"/>
      <c r="C57" s="9"/>
      <c r="D57" s="9"/>
      <c r="E57" s="25" t="s">
        <v>74</v>
      </c>
      <c r="F57" s="14"/>
      <c r="G57" s="174">
        <f>-'Link In'!B167</f>
        <v>0</v>
      </c>
      <c r="H57" s="269"/>
      <c r="I57" s="28">
        <f>-G57</f>
        <v>0</v>
      </c>
      <c r="J57" s="9"/>
      <c r="K57" s="160">
        <f>G57+I57</f>
        <v>0</v>
      </c>
      <c r="L57" s="15"/>
      <c r="M57" s="15"/>
      <c r="N57" s="15"/>
    </row>
    <row r="58" spans="1:14" ht="15" thickBot="1">
      <c r="A58" s="121">
        <v>48.072727272727199</v>
      </c>
      <c r="B58" s="9"/>
      <c r="C58" s="9"/>
      <c r="D58" s="9"/>
      <c r="E58" s="16" t="s">
        <v>92</v>
      </c>
      <c r="F58" s="9"/>
      <c r="G58" s="314">
        <f>G56-G57</f>
        <v>1059899.1223152166</v>
      </c>
      <c r="H58" s="269"/>
      <c r="I58" s="315">
        <f>I56-I57</f>
        <v>0</v>
      </c>
      <c r="J58" s="9"/>
      <c r="K58" s="315">
        <f>K56-K57</f>
        <v>1059899.1223152166</v>
      </c>
      <c r="L58" s="15"/>
      <c r="M58" s="15"/>
      <c r="N58" s="15"/>
    </row>
    <row r="59" spans="1:14" ht="15" thickTop="1">
      <c r="A59" s="121">
        <v>49.2</v>
      </c>
      <c r="B59" s="9"/>
      <c r="C59" s="9"/>
      <c r="D59" s="9"/>
      <c r="E59" s="9"/>
      <c r="F59" s="9"/>
      <c r="G59" s="257"/>
      <c r="H59" s="269"/>
      <c r="I59" s="9"/>
      <c r="J59" s="9"/>
      <c r="K59" s="9"/>
      <c r="L59" s="15"/>
      <c r="M59" s="15"/>
      <c r="N59" s="15"/>
    </row>
    <row r="60" spans="1:14">
      <c r="A60" s="121">
        <v>50.3272727272727</v>
      </c>
      <c r="B60" s="9"/>
      <c r="C60" s="14" t="s">
        <v>93</v>
      </c>
      <c r="D60" s="9"/>
      <c r="E60" s="9"/>
      <c r="F60" s="9"/>
      <c r="G60" s="257"/>
      <c r="H60" s="269"/>
      <c r="I60" s="9"/>
      <c r="J60" s="9"/>
      <c r="K60" s="9"/>
      <c r="L60" s="15"/>
      <c r="M60" s="15"/>
      <c r="N60" s="15"/>
    </row>
    <row r="61" spans="1:14">
      <c r="A61" s="121">
        <v>51.454545454545404</v>
      </c>
      <c r="B61" s="9"/>
      <c r="C61" s="9"/>
      <c r="D61" s="9"/>
      <c r="E61" s="9" t="s">
        <v>94</v>
      </c>
      <c r="F61" s="9"/>
      <c r="G61" s="263">
        <f>'Link In'!B143*0-(G37+G38+G43+G44+G45)*G53</f>
        <v>-19663.245389629716</v>
      </c>
      <c r="H61" s="174"/>
      <c r="I61" s="163">
        <v>0</v>
      </c>
      <c r="J61" s="9"/>
      <c r="K61" s="160">
        <f>G61+I61</f>
        <v>-19663.245389629716</v>
      </c>
      <c r="L61" s="15"/>
      <c r="M61" s="367"/>
      <c r="N61" s="15"/>
    </row>
    <row r="62" spans="1:14">
      <c r="A62" s="121">
        <v>52.5818181818181</v>
      </c>
      <c r="B62" s="9"/>
      <c r="C62" s="9"/>
      <c r="D62" s="9"/>
      <c r="E62" s="9" t="s">
        <v>95</v>
      </c>
      <c r="F62" s="9"/>
      <c r="G62" s="263">
        <f>-SUM(G41:G42)*G53</f>
        <v>85415.611994444218</v>
      </c>
      <c r="H62" s="269"/>
      <c r="I62" s="163">
        <v>0</v>
      </c>
      <c r="J62" s="9"/>
      <c r="K62" s="160">
        <f>G62+I62</f>
        <v>85415.611994444218</v>
      </c>
      <c r="L62" s="15"/>
      <c r="M62" s="367"/>
      <c r="N62" s="15"/>
    </row>
    <row r="63" spans="1:14">
      <c r="A63" s="121">
        <v>53.709090909090897</v>
      </c>
      <c r="B63" s="9"/>
      <c r="C63" s="9"/>
      <c r="D63" s="9"/>
      <c r="E63" s="9" t="s">
        <v>96</v>
      </c>
      <c r="F63" s="9"/>
      <c r="G63" s="333">
        <f>-SUM(G39*G53)</f>
        <v>-2854.2000000000003</v>
      </c>
      <c r="H63" s="269"/>
      <c r="I63" s="163">
        <v>0</v>
      </c>
      <c r="J63" s="9"/>
      <c r="K63" s="160">
        <f>G63+I63</f>
        <v>-2854.2000000000003</v>
      </c>
      <c r="L63" s="15"/>
      <c r="M63" s="367"/>
      <c r="N63" s="15"/>
    </row>
    <row r="64" spans="1:14">
      <c r="A64" s="121">
        <v>54.8363636363636</v>
      </c>
      <c r="B64" s="9"/>
      <c r="C64" s="9"/>
      <c r="D64" s="9"/>
      <c r="E64" s="9" t="s">
        <v>97</v>
      </c>
      <c r="F64" s="9"/>
      <c r="G64" s="333">
        <f>-SUM(G46:G47)*G53</f>
        <v>-69711.185583333325</v>
      </c>
      <c r="H64" s="269"/>
      <c r="I64" s="163">
        <v>0</v>
      </c>
      <c r="J64" s="9"/>
      <c r="K64" s="160">
        <f>G64+I64</f>
        <v>-69711.185583333325</v>
      </c>
      <c r="L64" s="15"/>
      <c r="M64" s="367"/>
      <c r="N64" s="15"/>
    </row>
    <row r="65" spans="1:14">
      <c r="A65" s="121">
        <v>55.963636363636297</v>
      </c>
      <c r="B65" s="9"/>
      <c r="C65" s="9"/>
      <c r="D65" s="9"/>
      <c r="E65" s="9" t="s">
        <v>98</v>
      </c>
      <c r="F65" s="9"/>
      <c r="G65" s="361">
        <f>'Link In'!B169</f>
        <v>0</v>
      </c>
      <c r="H65" s="269"/>
      <c r="I65" s="28">
        <f>-G65</f>
        <v>0</v>
      </c>
      <c r="J65" s="9"/>
      <c r="K65" s="317">
        <f>G65+I65</f>
        <v>0</v>
      </c>
      <c r="L65" s="15"/>
      <c r="M65" s="15"/>
      <c r="N65" s="15"/>
    </row>
    <row r="66" spans="1:14">
      <c r="A66" s="121">
        <v>57.090909090909001</v>
      </c>
      <c r="B66" s="9"/>
      <c r="C66" s="9"/>
      <c r="D66" s="9"/>
      <c r="E66" s="16" t="s">
        <v>82</v>
      </c>
      <c r="F66" s="9"/>
      <c r="G66" s="362">
        <f>SUM(G61:G65)</f>
        <v>-6813.0189785188122</v>
      </c>
      <c r="H66" s="269"/>
      <c r="I66" s="316">
        <f>SUM(I61:I65)</f>
        <v>0</v>
      </c>
      <c r="J66" s="9"/>
      <c r="K66" s="316">
        <f>SUM(K61:K65)</f>
        <v>-6813.0189785188122</v>
      </c>
      <c r="L66" s="15"/>
      <c r="M66" s="15"/>
      <c r="N66" s="15"/>
    </row>
    <row r="67" spans="1:14">
      <c r="A67" s="121">
        <v>58.218181818181797</v>
      </c>
      <c r="B67" s="9"/>
      <c r="C67" s="9"/>
      <c r="D67" s="9"/>
      <c r="E67" s="9" t="s">
        <v>72</v>
      </c>
      <c r="F67" s="9"/>
      <c r="G67" s="40"/>
      <c r="H67" s="269"/>
      <c r="I67" s="163">
        <v>0</v>
      </c>
      <c r="J67" s="27"/>
      <c r="K67" s="160">
        <f>G67+I67</f>
        <v>0</v>
      </c>
      <c r="L67" s="15"/>
      <c r="M67" s="15"/>
      <c r="N67" s="15"/>
    </row>
    <row r="68" spans="1:14" ht="15" thickBot="1">
      <c r="A68" s="121">
        <v>59.345454545454501</v>
      </c>
      <c r="B68" s="9"/>
      <c r="C68" s="9"/>
      <c r="D68" s="9"/>
      <c r="E68" s="16" t="s">
        <v>83</v>
      </c>
      <c r="F68" s="9"/>
      <c r="G68" s="315">
        <f>G66-G67</f>
        <v>-6813.0189785188122</v>
      </c>
      <c r="H68" s="269"/>
      <c r="I68" s="315">
        <f>I66-I67</f>
        <v>0</v>
      </c>
      <c r="J68" s="9"/>
      <c r="K68" s="315">
        <f>K66-K67</f>
        <v>-6813.0189785188122</v>
      </c>
      <c r="L68" s="15"/>
      <c r="M68" s="15"/>
      <c r="N68" s="15"/>
    </row>
    <row r="69" spans="1:14" ht="15" thickTop="1">
      <c r="A69" s="121">
        <v>60.472727272727198</v>
      </c>
      <c r="B69" s="9"/>
      <c r="C69" s="9"/>
      <c r="D69" s="9"/>
      <c r="E69" s="9"/>
      <c r="F69" s="9"/>
      <c r="G69" s="12"/>
      <c r="H69" s="269"/>
      <c r="I69" s="9"/>
      <c r="J69" s="9"/>
      <c r="K69" s="9"/>
      <c r="L69" s="15"/>
      <c r="M69" s="15"/>
      <c r="N69" s="15"/>
    </row>
    <row r="70" spans="1:14">
      <c r="A70" s="121">
        <v>61.6</v>
      </c>
      <c r="B70" s="9"/>
      <c r="C70" s="14"/>
      <c r="D70" s="9"/>
      <c r="E70" s="14" t="s">
        <v>84</v>
      </c>
      <c r="F70" s="9"/>
      <c r="G70" s="12"/>
      <c r="H70" s="269"/>
      <c r="I70" s="9"/>
      <c r="J70" s="9"/>
      <c r="K70" s="9"/>
      <c r="L70" s="15"/>
      <c r="M70" s="15"/>
      <c r="N70" s="15"/>
    </row>
    <row r="71" spans="1:14">
      <c r="A71" s="121">
        <v>62.727272727272698</v>
      </c>
      <c r="B71" s="9"/>
      <c r="C71" s="9"/>
      <c r="D71" s="9"/>
      <c r="E71" s="11" t="s">
        <v>85</v>
      </c>
      <c r="F71" s="9"/>
      <c r="G71" s="40">
        <f>'Link In'!D258</f>
        <v>-62971</v>
      </c>
      <c r="H71" s="269"/>
      <c r="I71" s="163">
        <v>0</v>
      </c>
      <c r="J71" s="9"/>
      <c r="K71" s="160">
        <f>G71+I71</f>
        <v>-62971</v>
      </c>
      <c r="L71" s="15"/>
      <c r="M71" s="15"/>
      <c r="N71" s="15"/>
    </row>
    <row r="72" spans="1:14" ht="15" thickBot="1">
      <c r="A72" s="121">
        <v>63.854545454545402</v>
      </c>
      <c r="B72" s="15"/>
      <c r="C72" s="15"/>
      <c r="D72" s="15"/>
      <c r="E72" s="32" t="s">
        <v>99</v>
      </c>
      <c r="F72" s="15"/>
      <c r="G72" s="315">
        <f>SUM(G68+G71)</f>
        <v>-69784.018978518812</v>
      </c>
      <c r="H72" s="269"/>
      <c r="I72" s="315">
        <f>SUM(I68+I71)</f>
        <v>0</v>
      </c>
      <c r="J72" s="302"/>
      <c r="K72" s="315">
        <f>SUM(K68+K71)</f>
        <v>-69784.018978518812</v>
      </c>
      <c r="L72" s="15"/>
      <c r="M72" s="15"/>
      <c r="N72" s="15"/>
    </row>
    <row r="73" spans="1:14" ht="15" thickTop="1">
      <c r="A73" s="121">
        <v>64.981818181818099</v>
      </c>
      <c r="B73" s="9"/>
      <c r="C73" s="9"/>
      <c r="D73" s="9"/>
      <c r="E73" s="9"/>
      <c r="F73" s="9"/>
      <c r="G73" s="9"/>
      <c r="H73" s="269"/>
      <c r="I73" s="9"/>
      <c r="J73" s="9"/>
      <c r="K73" s="9"/>
      <c r="L73" s="15"/>
      <c r="M73" s="15"/>
      <c r="N73" s="15"/>
    </row>
    <row r="74" spans="1:14">
      <c r="A74" s="121">
        <v>66.109090909090895</v>
      </c>
      <c r="B74" s="9"/>
      <c r="C74" s="9"/>
      <c r="D74" s="9"/>
      <c r="E74" s="9"/>
      <c r="F74" s="9"/>
      <c r="G74" s="9"/>
      <c r="I74" s="9"/>
      <c r="J74" s="9"/>
      <c r="K74" s="9"/>
      <c r="L74" s="41"/>
      <c r="M74" s="15"/>
      <c r="N74" s="15"/>
    </row>
    <row r="75" spans="1:14" ht="15" thickBot="1">
      <c r="A75" s="121">
        <v>67.236363636363606</v>
      </c>
      <c r="B75" s="9"/>
      <c r="C75" s="9"/>
      <c r="D75" s="9"/>
      <c r="E75" s="18" t="s">
        <v>100</v>
      </c>
      <c r="F75" s="14"/>
      <c r="G75" s="315">
        <f>SUM(G58+G72)</f>
        <v>990115.10333669779</v>
      </c>
      <c r="H75" s="269"/>
      <c r="I75" s="315">
        <f>SUM(I58+I72)</f>
        <v>0</v>
      </c>
      <c r="J75" s="302"/>
      <c r="K75" s="315">
        <f>SUM(K58+K72)</f>
        <v>990115.10333669779</v>
      </c>
      <c r="L75" s="42"/>
      <c r="M75" s="15"/>
      <c r="N75" s="15"/>
    </row>
    <row r="76" spans="1:14" ht="15" thickTop="1">
      <c r="A76" s="24"/>
      <c r="B76" s="9"/>
      <c r="C76" s="9"/>
      <c r="D76" s="9"/>
      <c r="E76" s="9"/>
      <c r="F76" s="9"/>
      <c r="G76" s="9"/>
      <c r="I76" s="9"/>
      <c r="J76" s="9"/>
      <c r="K76" s="9"/>
      <c r="L76" s="9"/>
      <c r="M76" s="9"/>
      <c r="N76" s="9"/>
    </row>
    <row r="77" spans="1:14">
      <c r="I77" s="388" t="s">
        <v>279</v>
      </c>
      <c r="J77" s="389"/>
      <c r="K77" s="390">
        <f>+(K26+K32+K33+K28)*0.05+K71</f>
        <v>990115.10333669791</v>
      </c>
    </row>
    <row r="78" spans="1:14">
      <c r="A78" s="9"/>
      <c r="B78" s="9"/>
      <c r="C78" s="9"/>
      <c r="D78" s="9"/>
      <c r="E78" s="9"/>
      <c r="F78" s="9"/>
      <c r="G78" s="35"/>
      <c r="I78" s="392"/>
      <c r="J78" s="389"/>
      <c r="K78" s="390">
        <f>K75-K77</f>
        <v>0</v>
      </c>
      <c r="L78" s="9"/>
      <c r="M78" s="9"/>
      <c r="N78" s="9"/>
    </row>
    <row r="79" spans="1:14">
      <c r="A79" s="9"/>
      <c r="B79" s="9"/>
      <c r="C79" s="9"/>
      <c r="D79" s="9"/>
      <c r="E79" s="9"/>
      <c r="F79" s="9"/>
      <c r="G79" s="35"/>
      <c r="I79" s="22"/>
      <c r="J79" s="9"/>
      <c r="K79" s="9"/>
      <c r="L79" s="9"/>
      <c r="M79" s="9"/>
      <c r="N79" s="9"/>
    </row>
    <row r="80" spans="1:14">
      <c r="G80" s="35"/>
      <c r="I80" s="9"/>
    </row>
    <row r="81" spans="7:9">
      <c r="G81" s="35"/>
      <c r="I81" s="9"/>
    </row>
    <row r="82" spans="7:9">
      <c r="G82" s="15"/>
      <c r="I82" s="22"/>
    </row>
    <row r="83" spans="7:9">
      <c r="G83" s="15"/>
      <c r="I83" s="9"/>
    </row>
    <row r="84" spans="7:9">
      <c r="G84" s="35"/>
      <c r="I84" s="9"/>
    </row>
    <row r="85" spans="7:9">
      <c r="G85" s="15"/>
      <c r="I85" s="9"/>
    </row>
  </sheetData>
  <mergeCells count="4">
    <mergeCell ref="A5:K5"/>
    <mergeCell ref="A6:K6"/>
    <mergeCell ref="A7:K7"/>
    <mergeCell ref="A4:K4"/>
  </mergeCells>
  <pageMargins left="0.7" right="0.7" top="0.75" bottom="0.75" header="0.3" footer="0.3"/>
  <pageSetup scale="54" orientation="portrait" verticalDpi="1200"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77"/>
  <sheetViews>
    <sheetView zoomScale="80" zoomScaleNormal="80" workbookViewId="0">
      <pane ySplit="15" topLeftCell="A16" activePane="bottomLeft" state="frozen"/>
      <selection pane="bottomLeft" activeCell="A16" sqref="A16"/>
    </sheetView>
  </sheetViews>
  <sheetFormatPr defaultRowHeight="14.4"/>
  <cols>
    <col min="1" max="1" width="3.5546875" customWidth="1"/>
    <col min="2" max="2" width="1.5546875" customWidth="1"/>
    <col min="3" max="3" width="15.5546875" customWidth="1"/>
    <col min="4" max="4" width="1.5546875" customWidth="1"/>
    <col min="5" max="5" width="78.5546875" customWidth="1"/>
    <col min="6" max="6" width="1.5546875" customWidth="1"/>
    <col min="7" max="7" width="21.88671875" bestFit="1" customWidth="1"/>
    <col min="8" max="8" width="1.5546875" customWidth="1"/>
    <col min="9" max="9" width="17.44140625" bestFit="1" customWidth="1"/>
    <col min="10" max="10" width="1.5546875" customWidth="1"/>
    <col min="11" max="11" width="19.109375" customWidth="1"/>
    <col min="12" max="12" width="15.88671875" bestFit="1" customWidth="1"/>
    <col min="13" max="13" width="14" bestFit="1" customWidth="1"/>
    <col min="14" max="14" width="1.5546875" customWidth="1"/>
    <col min="16" max="16" width="1.5546875" customWidth="1"/>
    <col min="18" max="18" width="1.5546875" customWidth="1"/>
    <col min="20" max="20" width="1.5546875" customWidth="1"/>
    <col min="22" max="22" width="1.5546875" customWidth="1"/>
    <col min="24" max="24" width="1.5546875" customWidth="1"/>
    <col min="26" max="26" width="1.5546875" customWidth="1"/>
    <col min="28" max="28" width="1.5546875" customWidth="1"/>
  </cols>
  <sheetData>
    <row r="1" spans="1:20">
      <c r="A1" s="145" t="s">
        <v>11</v>
      </c>
      <c r="B1" s="145"/>
      <c r="C1" s="145"/>
      <c r="D1" s="145"/>
      <c r="E1" s="145"/>
      <c r="F1" s="145"/>
      <c r="G1" s="145"/>
      <c r="H1" s="145"/>
      <c r="I1" s="122"/>
      <c r="J1" s="122"/>
      <c r="K1" s="91" t="s">
        <v>199</v>
      </c>
      <c r="L1" s="91"/>
      <c r="M1" s="43"/>
      <c r="N1" s="43"/>
      <c r="P1" s="43"/>
      <c r="Q1" s="43"/>
      <c r="R1" s="43"/>
      <c r="S1" s="43"/>
      <c r="T1" s="43"/>
    </row>
    <row r="2" spans="1:20">
      <c r="A2" s="145" t="s">
        <v>12</v>
      </c>
      <c r="B2" s="145"/>
      <c r="C2" s="145"/>
      <c r="D2" s="145"/>
      <c r="E2" s="145"/>
      <c r="F2" s="145"/>
      <c r="G2" s="145"/>
      <c r="H2" s="145"/>
      <c r="I2" s="122"/>
      <c r="J2" s="122"/>
      <c r="K2" s="146" t="str">
        <f ca="1">RIGHT(CELL("filename",$A$1),LEN(CELL("filename",$A$1))-SEARCH("\Taxes",CELL("filename",$A$1),1))</f>
        <v>Taxes\[KAWC 2018 Rate Case - Income Tax Exhibit.xlsx]E-1.3 Federal Inc Tax Forecast</v>
      </c>
      <c r="L2" s="146"/>
      <c r="M2" s="43"/>
      <c r="N2" s="43"/>
      <c r="P2" s="43"/>
      <c r="Q2" s="43"/>
      <c r="R2" s="43"/>
      <c r="S2" s="43"/>
      <c r="T2" s="43"/>
    </row>
    <row r="3" spans="1:20">
      <c r="A3" s="122"/>
      <c r="B3" s="122"/>
      <c r="C3" s="122"/>
      <c r="D3" s="122"/>
      <c r="E3" s="122"/>
      <c r="F3" s="122"/>
      <c r="G3" s="122"/>
      <c r="H3" s="122"/>
      <c r="I3" s="122"/>
      <c r="J3" s="122"/>
      <c r="K3" s="122"/>
      <c r="L3" s="122"/>
      <c r="M3" s="43"/>
      <c r="N3" s="43"/>
      <c r="O3" s="43"/>
      <c r="P3" s="43"/>
      <c r="Q3" s="43"/>
      <c r="R3" s="43"/>
      <c r="S3" s="43"/>
      <c r="T3" s="43"/>
    </row>
    <row r="4" spans="1:20">
      <c r="A4" s="406" t="str">
        <f>'Link In'!A1</f>
        <v>Kentucky American Water Company</v>
      </c>
      <c r="B4" s="406"/>
      <c r="C4" s="406"/>
      <c r="D4" s="406"/>
      <c r="E4" s="406"/>
      <c r="F4" s="406"/>
      <c r="G4" s="406"/>
      <c r="H4" s="406"/>
      <c r="I4" s="406"/>
      <c r="J4" s="406"/>
      <c r="K4" s="406"/>
      <c r="L4" s="122"/>
      <c r="M4" s="43"/>
      <c r="N4" s="43"/>
      <c r="O4" s="43"/>
      <c r="P4" s="43"/>
      <c r="Q4" s="43"/>
      <c r="R4" s="43"/>
      <c r="S4" s="43"/>
      <c r="T4" s="43"/>
    </row>
    <row r="5" spans="1:20">
      <c r="A5" s="406" t="str">
        <f>'Link In'!A3</f>
        <v>Case No. 2018-00358</v>
      </c>
      <c r="B5" s="406"/>
      <c r="C5" s="406"/>
      <c r="D5" s="406"/>
      <c r="E5" s="406"/>
      <c r="F5" s="406"/>
      <c r="G5" s="406"/>
      <c r="H5" s="406"/>
      <c r="I5" s="406"/>
      <c r="J5" s="406"/>
      <c r="K5" s="406"/>
      <c r="L5" s="134"/>
      <c r="M5" s="43"/>
      <c r="N5" s="43"/>
      <c r="O5" s="43"/>
      <c r="P5" s="43"/>
      <c r="Q5" s="43"/>
      <c r="R5" s="43"/>
      <c r="S5" s="43"/>
      <c r="T5" s="43"/>
    </row>
    <row r="6" spans="1:20">
      <c r="A6" s="406" t="str">
        <f>'Link In'!A34</f>
        <v>Base Year Adjustment Federal and State Taxes</v>
      </c>
      <c r="B6" s="406"/>
      <c r="C6" s="406"/>
      <c r="D6" s="406"/>
      <c r="E6" s="406"/>
      <c r="F6" s="406"/>
      <c r="G6" s="406"/>
      <c r="H6" s="406"/>
      <c r="I6" s="406"/>
      <c r="J6" s="406"/>
      <c r="K6" s="406"/>
      <c r="L6" s="134"/>
      <c r="M6" s="43"/>
      <c r="N6" s="43"/>
      <c r="O6" s="43"/>
      <c r="P6" s="43"/>
      <c r="Q6" s="43"/>
      <c r="R6" s="43"/>
      <c r="S6" s="43"/>
      <c r="T6" s="43"/>
    </row>
    <row r="7" spans="1:20">
      <c r="A7" s="406" t="s">
        <v>247</v>
      </c>
      <c r="B7" s="406"/>
      <c r="C7" s="406"/>
      <c r="D7" s="406"/>
      <c r="E7" s="406"/>
      <c r="F7" s="406"/>
      <c r="G7" s="406"/>
      <c r="H7" s="406"/>
      <c r="I7" s="406"/>
      <c r="J7" s="406"/>
      <c r="K7" s="406"/>
      <c r="L7" s="134"/>
      <c r="M7" s="43"/>
      <c r="N7" s="43"/>
      <c r="O7" s="43"/>
      <c r="P7" s="43"/>
      <c r="Q7" s="43"/>
      <c r="R7" s="43"/>
      <c r="S7" s="43"/>
      <c r="T7" s="43"/>
    </row>
    <row r="8" spans="1:20">
      <c r="A8" s="122"/>
      <c r="B8" s="122"/>
      <c r="C8" s="122"/>
      <c r="D8" s="122"/>
      <c r="E8" s="122"/>
      <c r="F8" s="122"/>
      <c r="G8" s="122"/>
      <c r="H8" s="122"/>
      <c r="I8" s="122"/>
      <c r="J8" s="122"/>
      <c r="K8" s="122"/>
      <c r="L8" s="134"/>
      <c r="M8" s="43"/>
      <c r="N8" s="43"/>
      <c r="O8" s="43"/>
      <c r="P8" s="43"/>
      <c r="Q8" s="43"/>
      <c r="R8" s="43"/>
      <c r="S8" s="43"/>
      <c r="T8" s="43"/>
    </row>
    <row r="9" spans="1:20">
      <c r="A9" s="299" t="str">
        <f>'Link In'!A28</f>
        <v>Witness Responsible:   John Wilde</v>
      </c>
      <c r="B9" s="122"/>
      <c r="C9" s="122"/>
      <c r="D9" s="122"/>
      <c r="E9" s="122"/>
      <c r="F9" s="122"/>
      <c r="G9" s="122"/>
      <c r="H9" s="122"/>
      <c r="I9" s="122"/>
      <c r="J9" s="122"/>
      <c r="K9" s="299" t="str">
        <f>'Link In'!A36</f>
        <v>W/P - 6-1</v>
      </c>
      <c r="L9" s="134"/>
      <c r="M9" s="43"/>
      <c r="N9" s="43"/>
      <c r="O9" s="43"/>
      <c r="P9" s="43"/>
      <c r="Q9" s="43"/>
      <c r="R9" s="43"/>
      <c r="S9" s="43"/>
      <c r="T9" s="43"/>
    </row>
    <row r="10" spans="1:20" ht="15.6">
      <c r="A10" s="299" t="str">
        <f>'Link In'!A15</f>
        <v>Type of Filing: __X__ Original  _____ Updated  _____ Revised</v>
      </c>
      <c r="B10" s="122"/>
      <c r="C10" s="122"/>
      <c r="D10" s="122"/>
      <c r="E10" s="122"/>
      <c r="F10" s="122"/>
      <c r="G10" s="122"/>
      <c r="H10" s="122"/>
      <c r="I10" s="122"/>
      <c r="J10" s="122"/>
      <c r="K10" s="122"/>
      <c r="L10" s="122"/>
      <c r="M10" s="79"/>
      <c r="N10" s="79"/>
      <c r="O10" s="79"/>
      <c r="P10" s="79"/>
      <c r="Q10" s="79"/>
      <c r="R10" s="79"/>
      <c r="S10" s="79"/>
      <c r="T10" s="79"/>
    </row>
    <row r="11" spans="1:20" ht="15.6">
      <c r="A11" s="72"/>
      <c r="B11" s="43"/>
      <c r="C11" s="43"/>
      <c r="D11" s="43"/>
      <c r="E11" s="43"/>
      <c r="F11" s="43"/>
      <c r="G11" s="59"/>
      <c r="H11" s="43"/>
      <c r="I11" s="43"/>
      <c r="J11" s="43"/>
      <c r="K11" s="75"/>
      <c r="L11" s="43"/>
      <c r="M11" s="43"/>
      <c r="N11" s="43"/>
      <c r="O11" s="43"/>
      <c r="P11" s="43"/>
      <c r="Q11" s="43"/>
      <c r="R11" s="43"/>
      <c r="S11" s="43"/>
      <c r="T11" s="43"/>
    </row>
    <row r="12" spans="1:20" ht="15.6">
      <c r="A12" s="72"/>
      <c r="B12" s="43"/>
      <c r="C12" s="43"/>
      <c r="D12" s="43"/>
      <c r="E12" s="43"/>
      <c r="F12" s="43"/>
      <c r="G12" s="59"/>
      <c r="H12" s="43"/>
      <c r="I12" s="43"/>
      <c r="J12" s="43"/>
      <c r="K12" s="75"/>
      <c r="L12" s="43"/>
      <c r="M12" s="43"/>
      <c r="N12" s="43"/>
      <c r="O12" s="43"/>
      <c r="P12" s="43"/>
      <c r="Q12" s="43"/>
      <c r="R12" s="43"/>
      <c r="S12" s="43"/>
      <c r="T12" s="43"/>
    </row>
    <row r="13" spans="1:20">
      <c r="A13" s="43"/>
      <c r="B13" s="43"/>
      <c r="C13" s="43"/>
      <c r="D13" s="43"/>
      <c r="E13" s="43"/>
      <c r="F13" s="43"/>
      <c r="G13" s="137" t="s">
        <v>34</v>
      </c>
      <c r="H13" s="320"/>
      <c r="I13" s="320"/>
      <c r="J13" s="320"/>
      <c r="K13" s="320"/>
      <c r="L13" s="43"/>
      <c r="M13" s="43"/>
      <c r="N13" s="43"/>
      <c r="O13" s="43"/>
      <c r="P13" s="43"/>
      <c r="Q13" s="43"/>
      <c r="R13" s="43"/>
      <c r="S13" s="43"/>
      <c r="T13" s="43"/>
    </row>
    <row r="14" spans="1:20">
      <c r="A14" s="43"/>
      <c r="B14" s="43"/>
      <c r="C14" s="43"/>
      <c r="D14" s="43"/>
      <c r="E14" s="43"/>
      <c r="F14" s="50"/>
      <c r="G14" s="148" t="s">
        <v>35</v>
      </c>
      <c r="H14" s="321"/>
      <c r="I14" s="148" t="s">
        <v>101</v>
      </c>
      <c r="J14" s="320"/>
      <c r="K14" s="148" t="s">
        <v>102</v>
      </c>
      <c r="L14" s="43"/>
      <c r="M14" s="43"/>
      <c r="N14" s="43"/>
      <c r="O14" s="43"/>
      <c r="P14" s="43"/>
      <c r="Q14" s="43"/>
      <c r="R14" s="43"/>
      <c r="S14" s="43"/>
      <c r="T14" s="43"/>
    </row>
    <row r="15" spans="1:20">
      <c r="A15" s="54" t="s">
        <v>7</v>
      </c>
      <c r="B15" s="55"/>
      <c r="C15" s="54" t="s">
        <v>37</v>
      </c>
      <c r="D15" s="56"/>
      <c r="E15" s="54" t="s">
        <v>38</v>
      </c>
      <c r="F15" s="50"/>
      <c r="G15" s="136" t="s">
        <v>102</v>
      </c>
      <c r="H15" s="321"/>
      <c r="I15" s="136" t="s">
        <v>40</v>
      </c>
      <c r="J15" s="320"/>
      <c r="K15" s="136" t="s">
        <v>101</v>
      </c>
      <c r="L15" s="43"/>
      <c r="M15" s="43"/>
    </row>
    <row r="16" spans="1:20">
      <c r="A16" s="59">
        <v>1</v>
      </c>
      <c r="B16" s="43"/>
      <c r="C16" s="49" t="s">
        <v>41</v>
      </c>
      <c r="D16" s="43"/>
      <c r="E16" s="49"/>
      <c r="F16" s="43"/>
      <c r="G16" s="43"/>
      <c r="H16" s="43"/>
      <c r="I16" s="43"/>
      <c r="J16" s="43"/>
      <c r="K16" s="43"/>
      <c r="L16" s="43"/>
      <c r="M16" s="43"/>
    </row>
    <row r="17" spans="1:13">
      <c r="A17" s="59">
        <v>2</v>
      </c>
      <c r="B17" s="43"/>
      <c r="C17" s="49"/>
      <c r="D17" s="43"/>
      <c r="E17" s="43" t="s">
        <v>42</v>
      </c>
      <c r="F17" s="43"/>
      <c r="G17" s="184">
        <f>'Link In'!D98</f>
        <v>88516166</v>
      </c>
      <c r="H17" s="185"/>
      <c r="I17" s="184">
        <f>K17-G17</f>
        <v>20001660.71353972</v>
      </c>
      <c r="J17" s="184"/>
      <c r="K17" s="156">
        <f>'Link In'!F98</f>
        <v>108517826.71353972</v>
      </c>
      <c r="L17" s="6"/>
      <c r="M17" s="43"/>
    </row>
    <row r="18" spans="1:13">
      <c r="A18" s="59">
        <v>3</v>
      </c>
      <c r="B18" s="43"/>
      <c r="C18" s="49"/>
      <c r="D18" s="43"/>
      <c r="E18" s="43"/>
      <c r="F18" s="43"/>
      <c r="G18" s="43"/>
      <c r="H18" s="6"/>
      <c r="I18" s="45"/>
      <c r="J18" s="43"/>
      <c r="K18" s="160"/>
      <c r="L18" s="6"/>
      <c r="M18" s="43"/>
    </row>
    <row r="19" spans="1:13">
      <c r="A19" s="59">
        <v>4</v>
      </c>
      <c r="B19" s="43"/>
      <c r="C19" s="49" t="s">
        <v>43</v>
      </c>
      <c r="D19" s="43"/>
      <c r="E19" s="49"/>
      <c r="F19" s="43"/>
      <c r="G19" s="43"/>
      <c r="H19" s="6"/>
      <c r="I19" s="45"/>
      <c r="J19" s="43"/>
      <c r="K19" s="160"/>
      <c r="L19" s="6"/>
      <c r="M19" s="43"/>
    </row>
    <row r="20" spans="1:13">
      <c r="A20" s="59">
        <v>5</v>
      </c>
      <c r="B20" s="43"/>
      <c r="C20" s="43"/>
      <c r="D20" s="43"/>
      <c r="E20" s="43" t="s">
        <v>44</v>
      </c>
      <c r="F20" s="43"/>
      <c r="G20" s="44">
        <f>-'Link In'!D103</f>
        <v>-37805850.987251282</v>
      </c>
      <c r="H20" s="6"/>
      <c r="I20" s="256">
        <f>K20-G20</f>
        <v>-182838.8950419575</v>
      </c>
      <c r="J20" s="43"/>
      <c r="K20" s="160">
        <f>-'Link In'!F103</f>
        <v>-37988689.882293239</v>
      </c>
      <c r="L20" s="6"/>
      <c r="M20" s="50"/>
    </row>
    <row r="21" spans="1:13">
      <c r="A21" s="59">
        <v>6</v>
      </c>
      <c r="B21" s="43"/>
      <c r="C21" s="43"/>
      <c r="D21" s="43"/>
      <c r="E21" s="43" t="s">
        <v>45</v>
      </c>
      <c r="F21" s="43"/>
      <c r="G21" s="44">
        <f>-SUM('Link In'!$D$104+'Link In'!$D$105+'Link In'!$D$106+'Link In'!$D$107)</f>
        <v>-18671407.914117441</v>
      </c>
      <c r="H21" s="6"/>
      <c r="I21" s="256">
        <f>K21-G21</f>
        <v>0</v>
      </c>
      <c r="J21" s="43"/>
      <c r="K21" s="180">
        <f>-SUM('Link In'!$F$104+'Link In'!$F$105+'Link In'!$F$106+'Link In'!$F$107)</f>
        <v>-18671407.914117441</v>
      </c>
      <c r="L21" s="6"/>
      <c r="M21" s="50"/>
    </row>
    <row r="22" spans="1:13">
      <c r="A22" s="59">
        <v>7</v>
      </c>
      <c r="B22" s="43"/>
      <c r="C22" s="43"/>
      <c r="D22" s="43"/>
      <c r="E22" s="43" t="s">
        <v>46</v>
      </c>
      <c r="F22" s="43"/>
      <c r="G22" s="44">
        <f>-'Link In'!D111</f>
        <v>-7822213</v>
      </c>
      <c r="H22" s="6"/>
      <c r="I22" s="256">
        <f>K22-G22</f>
        <v>-40002.777713552117</v>
      </c>
      <c r="J22" s="43"/>
      <c r="K22" s="160">
        <f>-'Link In'!F111</f>
        <v>-7862215.7777135521</v>
      </c>
      <c r="L22" s="6"/>
      <c r="M22" s="50"/>
    </row>
    <row r="23" spans="1:13">
      <c r="A23" s="121">
        <v>8</v>
      </c>
      <c r="B23" s="43"/>
      <c r="C23" s="43"/>
      <c r="D23" s="43"/>
      <c r="E23" s="46" t="s">
        <v>48</v>
      </c>
      <c r="F23" s="43"/>
      <c r="G23" s="264">
        <f>-'Link In'!C119</f>
        <v>-13233347</v>
      </c>
      <c r="H23" s="174"/>
      <c r="I23" s="256">
        <f>K23-G23</f>
        <v>0</v>
      </c>
      <c r="J23" s="43"/>
      <c r="K23" s="160">
        <f>G23</f>
        <v>-13233347</v>
      </c>
      <c r="L23" s="6"/>
      <c r="M23" s="50"/>
    </row>
    <row r="24" spans="1:13">
      <c r="A24" s="121">
        <v>9</v>
      </c>
      <c r="B24" s="43"/>
      <c r="C24" s="43"/>
      <c r="D24" s="43"/>
      <c r="E24" s="51" t="s">
        <v>103</v>
      </c>
      <c r="F24" s="43"/>
      <c r="G24" s="283">
        <f>SUM(G20:G23)</f>
        <v>-77532818.901368722</v>
      </c>
      <c r="H24" s="7"/>
      <c r="I24" s="283">
        <f>SUM(I20:I23)</f>
        <v>-222841.67275550961</v>
      </c>
      <c r="J24" s="43"/>
      <c r="K24" s="283">
        <f>SUM(K20:K23)</f>
        <v>-77755660.574124232</v>
      </c>
      <c r="L24" s="7"/>
      <c r="M24" s="50"/>
    </row>
    <row r="25" spans="1:13">
      <c r="A25" s="121">
        <v>10</v>
      </c>
      <c r="B25" s="43"/>
      <c r="C25" s="43"/>
      <c r="D25" s="43"/>
      <c r="E25" s="51"/>
      <c r="F25" s="43"/>
      <c r="G25" s="43"/>
      <c r="H25" s="6"/>
      <c r="I25" s="43"/>
      <c r="J25" s="43"/>
      <c r="K25" s="160"/>
      <c r="L25" s="6"/>
      <c r="M25" s="50"/>
    </row>
    <row r="26" spans="1:13">
      <c r="A26" s="121">
        <v>11</v>
      </c>
      <c r="B26" s="43"/>
      <c r="C26" s="43"/>
      <c r="D26" s="43"/>
      <c r="E26" s="51" t="s">
        <v>104</v>
      </c>
      <c r="F26" s="43"/>
      <c r="G26" s="282">
        <f>SUM(G17+G24)</f>
        <v>10983347.098631278</v>
      </c>
      <c r="H26" s="7"/>
      <c r="I26" s="282">
        <f>SUM(I17+I24)</f>
        <v>19778819.04078421</v>
      </c>
      <c r="J26" s="43"/>
      <c r="K26" s="282">
        <f>SUM(K17+K24)</f>
        <v>30762166.139415488</v>
      </c>
      <c r="L26" s="7"/>
      <c r="M26" s="50"/>
    </row>
    <row r="27" spans="1:13" s="302" customFormat="1">
      <c r="A27" s="121">
        <v>12</v>
      </c>
      <c r="E27" s="89"/>
      <c r="G27" s="282"/>
      <c r="H27" s="7"/>
      <c r="I27" s="282"/>
      <c r="K27" s="282"/>
      <c r="L27" s="7"/>
      <c r="M27" s="227"/>
    </row>
    <row r="28" spans="1:13" s="302" customFormat="1">
      <c r="A28" s="121">
        <v>13</v>
      </c>
      <c r="E28" s="227" t="s">
        <v>47</v>
      </c>
      <c r="G28" s="335">
        <f>-'E-1.4 State Inc Tax Forecast'!G54</f>
        <v>-757292.79315623327</v>
      </c>
      <c r="H28" s="368"/>
      <c r="I28" s="335">
        <f>K28-G28</f>
        <v>-980882.29570349434</v>
      </c>
      <c r="J28" s="335"/>
      <c r="K28" s="335">
        <f>-'E-1.4 State Inc Tax Forecast'!K54</f>
        <v>-1738175.0888597276</v>
      </c>
      <c r="L28" s="6"/>
      <c r="M28" s="227"/>
    </row>
    <row r="29" spans="1:13" s="302" customFormat="1">
      <c r="A29" s="121">
        <v>14</v>
      </c>
      <c r="E29" s="227" t="s">
        <v>296</v>
      </c>
      <c r="G29" s="335">
        <f>-G66-G68</f>
        <v>133114.22044088176</v>
      </c>
      <c r="H29" s="368"/>
      <c r="I29" s="256">
        <f>K29-G29</f>
        <v>0</v>
      </c>
      <c r="J29" s="335"/>
      <c r="K29" s="335">
        <f>-K66-K68</f>
        <v>133114.22044088176</v>
      </c>
      <c r="L29" s="6"/>
      <c r="M29" s="227"/>
    </row>
    <row r="30" spans="1:13">
      <c r="A30" s="121">
        <v>15</v>
      </c>
      <c r="B30" s="43"/>
      <c r="C30" s="43"/>
      <c r="D30" s="43"/>
      <c r="E30" s="43"/>
      <c r="F30" s="43"/>
      <c r="G30" s="43"/>
      <c r="H30" s="6"/>
      <c r="I30" s="43"/>
      <c r="J30" s="43"/>
      <c r="K30" s="160"/>
      <c r="L30" s="6"/>
      <c r="M30" s="50"/>
    </row>
    <row r="31" spans="1:13">
      <c r="A31" s="121">
        <v>16</v>
      </c>
      <c r="B31" s="43"/>
      <c r="C31" s="49" t="s">
        <v>51</v>
      </c>
      <c r="D31" s="43"/>
      <c r="E31" s="43"/>
      <c r="F31" s="43"/>
      <c r="G31" s="43"/>
      <c r="H31" s="6"/>
      <c r="I31" s="43"/>
      <c r="J31" s="43"/>
      <c r="K31" s="160"/>
      <c r="L31" s="6"/>
      <c r="M31" s="50"/>
    </row>
    <row r="32" spans="1:13" ht="28.8">
      <c r="A32" s="121">
        <v>17</v>
      </c>
      <c r="B32" s="43"/>
      <c r="C32" s="43"/>
      <c r="D32" s="43"/>
      <c r="E32" s="66" t="s">
        <v>52</v>
      </c>
      <c r="F32" s="43"/>
      <c r="G32" s="43"/>
      <c r="H32" s="6"/>
      <c r="I32" s="43"/>
      <c r="J32" s="43"/>
      <c r="K32" s="160"/>
      <c r="L32" s="6"/>
      <c r="M32" s="50"/>
    </row>
    <row r="33" spans="1:13">
      <c r="A33" s="121">
        <v>18</v>
      </c>
      <c r="B33" s="43"/>
      <c r="C33" s="43"/>
      <c r="D33" s="43"/>
      <c r="E33" s="48" t="s">
        <v>53</v>
      </c>
      <c r="F33" s="43"/>
      <c r="G33" s="44">
        <f>(+'Link In'!C124)*0.5</f>
        <v>22387.5</v>
      </c>
      <c r="H33" s="6"/>
      <c r="I33" s="256">
        <v>0</v>
      </c>
      <c r="J33" s="43"/>
      <c r="K33" s="160">
        <f>G33+I33</f>
        <v>22387.5</v>
      </c>
      <c r="L33" s="6"/>
      <c r="M33" s="50"/>
    </row>
    <row r="34" spans="1:13">
      <c r="A34" s="121">
        <v>19</v>
      </c>
      <c r="B34" s="43"/>
      <c r="C34" s="43"/>
      <c r="D34" s="43"/>
      <c r="E34" s="52" t="s">
        <v>54</v>
      </c>
      <c r="F34" s="43"/>
      <c r="G34" s="264">
        <f>'Link In'!C120</f>
        <v>176445</v>
      </c>
      <c r="H34" s="174"/>
      <c r="I34" s="260">
        <v>0</v>
      </c>
      <c r="J34" s="43"/>
      <c r="K34" s="160">
        <f>G34+I34</f>
        <v>176445</v>
      </c>
      <c r="L34" s="6"/>
      <c r="M34" s="50"/>
    </row>
    <row r="35" spans="1:13">
      <c r="A35" s="121">
        <v>20</v>
      </c>
      <c r="B35" s="43"/>
      <c r="C35" s="43"/>
      <c r="D35" s="43"/>
      <c r="E35" s="53" t="s">
        <v>105</v>
      </c>
      <c r="F35" s="43"/>
      <c r="G35" s="283">
        <f>G26+G33+G34+G28+G29</f>
        <v>10558001.025915926</v>
      </c>
      <c r="H35" s="6"/>
      <c r="I35" s="283">
        <f>I26+I33+I34+I28+I29</f>
        <v>18797936.745080717</v>
      </c>
      <c r="J35" s="43"/>
      <c r="K35" s="283">
        <f>K26+K33+K34+K28+K29</f>
        <v>29355937.770996641</v>
      </c>
      <c r="L35" s="6"/>
      <c r="M35" s="50"/>
    </row>
    <row r="36" spans="1:13">
      <c r="A36" s="121">
        <v>21</v>
      </c>
      <c r="B36" s="43"/>
      <c r="C36" s="43"/>
      <c r="D36" s="43"/>
      <c r="E36" s="43"/>
      <c r="F36" s="43"/>
      <c r="G36" s="326"/>
      <c r="H36" s="6"/>
      <c r="I36" s="43"/>
      <c r="J36" s="43"/>
      <c r="K36" s="43"/>
      <c r="L36" s="6"/>
      <c r="M36" s="50"/>
    </row>
    <row r="37" spans="1:13" ht="28.8">
      <c r="A37" s="121">
        <v>22</v>
      </c>
      <c r="B37" s="43"/>
      <c r="C37" s="58"/>
      <c r="D37" s="58"/>
      <c r="E37" s="70" t="s">
        <v>56</v>
      </c>
      <c r="F37" s="43"/>
      <c r="G37" s="43"/>
      <c r="H37" s="6"/>
      <c r="I37" s="43"/>
      <c r="J37" s="43"/>
      <c r="K37" s="43"/>
      <c r="L37" s="6"/>
      <c r="M37" s="50"/>
    </row>
    <row r="38" spans="1:13">
      <c r="A38" s="121">
        <v>23</v>
      </c>
      <c r="B38" s="43"/>
      <c r="C38" s="71"/>
      <c r="D38" s="58"/>
      <c r="E38" s="67" t="s">
        <v>57</v>
      </c>
      <c r="F38" s="43"/>
      <c r="G38" s="73">
        <f>-'Link In'!C128</f>
        <v>-13835971.214430096</v>
      </c>
      <c r="H38" s="6"/>
      <c r="I38" s="256">
        <v>0</v>
      </c>
      <c r="J38" s="43"/>
      <c r="K38" s="160">
        <f>G38</f>
        <v>-13835971.214430096</v>
      </c>
      <c r="L38" s="6"/>
      <c r="M38" s="367"/>
    </row>
    <row r="39" spans="1:13">
      <c r="A39" s="121">
        <v>24</v>
      </c>
      <c r="B39" s="43"/>
      <c r="C39" s="71"/>
      <c r="D39" s="58"/>
      <c r="E39" s="67" t="s">
        <v>58</v>
      </c>
      <c r="F39" s="43"/>
      <c r="G39" s="76">
        <f>'Link In'!C129</f>
        <v>17759786.526808504</v>
      </c>
      <c r="H39" s="6"/>
      <c r="I39" s="256">
        <v>0</v>
      </c>
      <c r="J39" s="43"/>
      <c r="K39" s="160">
        <f t="shared" ref="K39:K48" si="0">G39</f>
        <v>17759786.526808504</v>
      </c>
      <c r="L39" s="6"/>
      <c r="M39" s="367"/>
    </row>
    <row r="40" spans="1:13">
      <c r="A40" s="121">
        <v>25</v>
      </c>
      <c r="B40" s="43"/>
      <c r="C40" s="71"/>
      <c r="D40" s="58"/>
      <c r="E40" s="67" t="s">
        <v>59</v>
      </c>
      <c r="F40" s="43"/>
      <c r="G40" s="76">
        <f>'Link In'!C131</f>
        <v>57085.98</v>
      </c>
      <c r="H40" s="6"/>
      <c r="I40" s="256">
        <v>0</v>
      </c>
      <c r="J40" s="43"/>
      <c r="K40" s="160">
        <f t="shared" si="0"/>
        <v>57085.98</v>
      </c>
      <c r="L40" s="6"/>
      <c r="M40" s="367"/>
    </row>
    <row r="41" spans="1:13">
      <c r="A41" s="121">
        <v>26</v>
      </c>
      <c r="B41" s="43"/>
      <c r="C41" s="71"/>
      <c r="D41" s="58"/>
      <c r="E41" s="67" t="s">
        <v>60</v>
      </c>
      <c r="F41" s="43"/>
      <c r="G41" s="73">
        <v>0</v>
      </c>
      <c r="H41" s="6"/>
      <c r="I41" s="256">
        <v>0</v>
      </c>
      <c r="J41" s="43"/>
      <c r="K41" s="160">
        <f t="shared" si="0"/>
        <v>0</v>
      </c>
      <c r="L41" s="6"/>
      <c r="M41" s="367"/>
    </row>
    <row r="42" spans="1:13">
      <c r="A42" s="121">
        <v>27</v>
      </c>
      <c r="B42" s="43"/>
      <c r="C42" s="71"/>
      <c r="D42" s="58"/>
      <c r="E42" s="67" t="s">
        <v>61</v>
      </c>
      <c r="F42" s="43"/>
      <c r="G42" s="76">
        <f>'Link In'!C133</f>
        <v>1091902</v>
      </c>
      <c r="H42" s="6"/>
      <c r="I42" s="256">
        <v>0</v>
      </c>
      <c r="J42" s="43"/>
      <c r="K42" s="160">
        <f t="shared" si="0"/>
        <v>1091902</v>
      </c>
      <c r="L42" s="6"/>
      <c r="M42" s="367"/>
    </row>
    <row r="43" spans="1:13">
      <c r="A43" s="121">
        <v>28</v>
      </c>
      <c r="B43" s="43"/>
      <c r="C43" s="71"/>
      <c r="D43" s="58"/>
      <c r="E43" s="67" t="s">
        <v>62</v>
      </c>
      <c r="F43" s="43"/>
      <c r="G43" s="284">
        <f>-'Link In'!C134</f>
        <v>-1500000</v>
      </c>
      <c r="H43" s="6"/>
      <c r="I43" s="256">
        <v>0</v>
      </c>
      <c r="J43" s="43"/>
      <c r="K43" s="160">
        <f t="shared" si="0"/>
        <v>-1500000</v>
      </c>
      <c r="L43" s="6"/>
      <c r="M43" s="367"/>
    </row>
    <row r="44" spans="1:13">
      <c r="A44" s="121">
        <v>29</v>
      </c>
      <c r="B44" s="43"/>
      <c r="C44" s="71"/>
      <c r="D44" s="58"/>
      <c r="E44" s="67" t="s">
        <v>63</v>
      </c>
      <c r="F44" s="43"/>
      <c r="G44" s="76">
        <f>'Link In'!C137</f>
        <v>-2416731.1434357874</v>
      </c>
      <c r="H44" s="6"/>
      <c r="I44" s="256">
        <v>0</v>
      </c>
      <c r="J44" s="43"/>
      <c r="K44" s="160">
        <f t="shared" si="0"/>
        <v>-2416731.1434357874</v>
      </c>
      <c r="L44" s="6"/>
      <c r="M44" s="367"/>
    </row>
    <row r="45" spans="1:13">
      <c r="A45" s="121">
        <v>30</v>
      </c>
      <c r="B45" s="43"/>
      <c r="C45" s="71"/>
      <c r="D45" s="58"/>
      <c r="E45" s="67" t="s">
        <v>64</v>
      </c>
      <c r="F45" s="43"/>
      <c r="G45" s="76">
        <f>'Link In'!C138</f>
        <v>7984616.6338227838</v>
      </c>
      <c r="H45" s="6"/>
      <c r="I45" s="256">
        <v>0</v>
      </c>
      <c r="J45" s="43"/>
      <c r="K45" s="160">
        <f t="shared" si="0"/>
        <v>7984616.6338227838</v>
      </c>
      <c r="L45" s="6"/>
      <c r="M45" s="367"/>
    </row>
    <row r="46" spans="1:13">
      <c r="A46" s="121">
        <v>31</v>
      </c>
      <c r="B46" s="43"/>
      <c r="C46" s="71"/>
      <c r="D46" s="58"/>
      <c r="E46" s="67" t="s">
        <v>65</v>
      </c>
      <c r="F46" s="43"/>
      <c r="G46" s="76">
        <f>-'Link In'!C139</f>
        <v>-4230368.7769989409</v>
      </c>
      <c r="H46" s="6"/>
      <c r="I46" s="256">
        <v>0</v>
      </c>
      <c r="J46" s="43"/>
      <c r="K46" s="160">
        <f t="shared" si="0"/>
        <v>-4230368.7769989409</v>
      </c>
      <c r="L46" s="6"/>
      <c r="M46" s="367"/>
    </row>
    <row r="47" spans="1:13">
      <c r="A47" s="121">
        <v>32</v>
      </c>
      <c r="B47" s="43"/>
      <c r="C47" s="71"/>
      <c r="D47" s="58"/>
      <c r="E47" s="67" t="s">
        <v>89</v>
      </c>
      <c r="F47" s="43"/>
      <c r="G47" s="76">
        <f>'Link In'!C140</f>
        <v>3056122.1474742508</v>
      </c>
      <c r="H47" s="6"/>
      <c r="I47" s="256">
        <v>0</v>
      </c>
      <c r="J47" s="43"/>
      <c r="K47" s="160">
        <f t="shared" si="0"/>
        <v>3056122.1474742508</v>
      </c>
      <c r="L47" s="6"/>
      <c r="M47" s="367"/>
    </row>
    <row r="48" spans="1:13">
      <c r="A48" s="121">
        <v>33</v>
      </c>
      <c r="B48" s="43"/>
      <c r="C48" s="71"/>
      <c r="D48" s="58"/>
      <c r="E48" s="61" t="s">
        <v>66</v>
      </c>
      <c r="F48" s="43"/>
      <c r="G48" s="64">
        <f>-'Link In'!C141</f>
        <v>-1351177</v>
      </c>
      <c r="H48" s="6"/>
      <c r="I48" s="260">
        <v>0</v>
      </c>
      <c r="J48" s="43"/>
      <c r="K48" s="160">
        <f t="shared" si="0"/>
        <v>-1351177</v>
      </c>
      <c r="L48" s="6"/>
      <c r="M48" s="367"/>
    </row>
    <row r="49" spans="1:13">
      <c r="A49" s="121">
        <v>34</v>
      </c>
      <c r="B49" s="43"/>
      <c r="C49" s="58"/>
      <c r="D49" s="58"/>
      <c r="E49" s="51" t="s">
        <v>106</v>
      </c>
      <c r="F49" s="43"/>
      <c r="G49" s="283">
        <f>SUM(G38:G48)</f>
        <v>6615265.1532407152</v>
      </c>
      <c r="H49" s="6"/>
      <c r="I49" s="283">
        <f>SUM(I38:I48)</f>
        <v>0</v>
      </c>
      <c r="J49" s="77"/>
      <c r="K49" s="283">
        <f>SUM(K38:K48)</f>
        <v>6615265.1532407152</v>
      </c>
      <c r="L49" s="6"/>
      <c r="M49" s="50"/>
    </row>
    <row r="50" spans="1:13">
      <c r="A50" s="121">
        <v>35</v>
      </c>
      <c r="B50" s="43"/>
      <c r="C50" s="58"/>
      <c r="D50" s="58"/>
      <c r="E50" s="58"/>
      <c r="F50" s="43"/>
      <c r="G50" s="43"/>
      <c r="H50" s="6"/>
      <c r="I50" s="43"/>
      <c r="J50" s="43"/>
      <c r="K50" s="160"/>
      <c r="L50" s="6"/>
      <c r="M50" s="50"/>
    </row>
    <row r="51" spans="1:13" ht="15" thickBot="1">
      <c r="A51" s="121">
        <v>36</v>
      </c>
      <c r="B51" s="43"/>
      <c r="C51" s="43"/>
      <c r="D51" s="43"/>
      <c r="E51" s="51" t="s">
        <v>107</v>
      </c>
      <c r="F51" s="43"/>
      <c r="G51" s="285">
        <f>G35+G49</f>
        <v>17173266.179156642</v>
      </c>
      <c r="H51" s="6"/>
      <c r="I51" s="285">
        <f>I35+I49</f>
        <v>18797936.745080717</v>
      </c>
      <c r="J51" s="43"/>
      <c r="K51" s="285">
        <f>K35+K49</f>
        <v>35971202.924237356</v>
      </c>
      <c r="L51" s="6"/>
      <c r="M51" s="50"/>
    </row>
    <row r="52" spans="1:13" ht="15" thickTop="1">
      <c r="A52" s="121">
        <v>37</v>
      </c>
      <c r="B52" s="43"/>
      <c r="C52" s="43"/>
      <c r="D52" s="43"/>
      <c r="E52" s="60"/>
      <c r="F52" s="43"/>
      <c r="G52" s="43"/>
      <c r="H52" s="6"/>
      <c r="I52" s="43"/>
      <c r="J52" s="43"/>
      <c r="K52" s="43"/>
      <c r="L52" s="6"/>
      <c r="M52" s="50"/>
    </row>
    <row r="53" spans="1:13">
      <c r="A53" s="121">
        <v>38</v>
      </c>
      <c r="B53" s="43"/>
      <c r="C53" s="49" t="s">
        <v>69</v>
      </c>
      <c r="D53" s="43"/>
      <c r="E53" s="60"/>
      <c r="F53" s="43"/>
      <c r="G53" s="43"/>
      <c r="H53" s="6"/>
      <c r="I53" s="43"/>
      <c r="J53" s="43"/>
      <c r="K53" s="43"/>
      <c r="L53" s="6"/>
      <c r="M53" s="50"/>
    </row>
    <row r="54" spans="1:13">
      <c r="A54" s="121">
        <v>39</v>
      </c>
      <c r="B54" s="43"/>
      <c r="C54" s="43"/>
      <c r="D54" s="43"/>
      <c r="E54" s="61" t="s">
        <v>70</v>
      </c>
      <c r="F54" s="43"/>
      <c r="G54" s="65">
        <v>0.21</v>
      </c>
      <c r="H54" s="8"/>
      <c r="I54" s="65">
        <v>0.21</v>
      </c>
      <c r="J54" s="43"/>
      <c r="K54" s="65">
        <v>0.21</v>
      </c>
      <c r="L54" s="8"/>
      <c r="M54" s="50"/>
    </row>
    <row r="55" spans="1:13" ht="15" thickBot="1">
      <c r="A55" s="121">
        <v>40</v>
      </c>
      <c r="B55" s="43"/>
      <c r="C55" s="43"/>
      <c r="D55" s="43"/>
      <c r="E55" s="63" t="s">
        <v>108</v>
      </c>
      <c r="F55" s="43"/>
      <c r="G55" s="315">
        <f>G51*G54</f>
        <v>3606385.897622895</v>
      </c>
      <c r="H55" s="6"/>
      <c r="I55" s="315">
        <f>I51*I54</f>
        <v>3947566.7164669503</v>
      </c>
      <c r="J55" s="43"/>
      <c r="K55" s="315">
        <f>K51*K54</f>
        <v>7553952.6140898447</v>
      </c>
      <c r="L55" s="6"/>
      <c r="M55" s="50"/>
    </row>
    <row r="56" spans="1:13" ht="15" thickTop="1">
      <c r="A56" s="121">
        <v>41</v>
      </c>
      <c r="B56" s="43"/>
      <c r="C56" s="43"/>
      <c r="D56" s="43"/>
      <c r="E56" s="43"/>
      <c r="F56" s="43"/>
      <c r="G56" s="43"/>
      <c r="H56" s="6"/>
      <c r="I56" s="43"/>
      <c r="J56" s="43"/>
      <c r="K56" s="43"/>
      <c r="L56" s="6"/>
      <c r="M56" s="50"/>
    </row>
    <row r="57" spans="1:13">
      <c r="A57" s="121">
        <v>42</v>
      </c>
      <c r="B57" s="43"/>
      <c r="C57" s="43"/>
      <c r="D57" s="43"/>
      <c r="E57" s="43"/>
      <c r="F57" s="43"/>
      <c r="G57" s="43"/>
      <c r="H57" s="6"/>
      <c r="I57" s="43"/>
      <c r="J57" s="43"/>
      <c r="K57" s="43"/>
      <c r="L57" s="6"/>
      <c r="M57" s="50"/>
    </row>
    <row r="58" spans="1:13">
      <c r="A58" s="121">
        <v>43</v>
      </c>
      <c r="B58" s="43"/>
      <c r="C58" s="49" t="s">
        <v>76</v>
      </c>
      <c r="D58" s="43"/>
      <c r="E58" s="43"/>
      <c r="F58" s="43"/>
      <c r="G58" s="43"/>
      <c r="H58" s="6"/>
      <c r="I58" s="43"/>
      <c r="J58" s="43"/>
      <c r="K58" s="43"/>
      <c r="L58" s="6"/>
      <c r="M58" s="50"/>
    </row>
    <row r="59" spans="1:13">
      <c r="A59" s="121">
        <v>44</v>
      </c>
      <c r="B59" s="43"/>
      <c r="C59" s="43"/>
      <c r="D59" s="43"/>
      <c r="E59" s="43" t="s">
        <v>77</v>
      </c>
      <c r="F59" s="58"/>
      <c r="G59" s="69">
        <f>(-SUM(G38+G39+G44+G45+G46)-'E-1.4 State Inc Tax Forecast'!G58)*G54</f>
        <v>-1078132.3506404094</v>
      </c>
      <c r="H59" s="6"/>
      <c r="I59" s="256">
        <v>0</v>
      </c>
      <c r="J59" s="43"/>
      <c r="K59" s="57">
        <f>SUM(G59+I59)</f>
        <v>-1078132.3506404094</v>
      </c>
      <c r="L59" s="6"/>
      <c r="M59" s="50"/>
    </row>
    <row r="60" spans="1:13">
      <c r="A60" s="121">
        <v>45</v>
      </c>
      <c r="B60" s="43"/>
      <c r="C60" s="43"/>
      <c r="D60" s="43"/>
      <c r="E60" s="43" t="s">
        <v>78</v>
      </c>
      <c r="F60" s="43"/>
      <c r="G60" s="69">
        <f>(-SUM(G42+G43)-'E-1.4 State Inc Tax Forecast'!G59)*G54</f>
        <v>81415.550999999992</v>
      </c>
      <c r="H60" s="6"/>
      <c r="I60" s="256">
        <v>0</v>
      </c>
      <c r="J60" s="43"/>
      <c r="K60" s="95">
        <f>SUM(G60+I60)</f>
        <v>81415.550999999992</v>
      </c>
      <c r="L60" s="6"/>
      <c r="M60" s="50"/>
    </row>
    <row r="61" spans="1:13">
      <c r="A61" s="121">
        <v>46</v>
      </c>
      <c r="B61" s="43"/>
      <c r="C61" s="43"/>
      <c r="D61" s="43"/>
      <c r="E61" s="43" t="s">
        <v>79</v>
      </c>
      <c r="F61" s="43"/>
      <c r="G61" s="62">
        <f>(-G40-'E-1.4 State Inc Tax Forecast'!G60)*G54</f>
        <v>-11388.65301</v>
      </c>
      <c r="H61" s="6"/>
      <c r="I61" s="256">
        <v>0</v>
      </c>
      <c r="J61" s="43"/>
      <c r="K61" s="95">
        <f>SUM(G61+I61)</f>
        <v>-11388.65301</v>
      </c>
      <c r="L61" s="6"/>
      <c r="M61" s="50"/>
    </row>
    <row r="62" spans="1:13">
      <c r="A62" s="121">
        <v>47</v>
      </c>
      <c r="B62" s="43"/>
      <c r="C62" s="43"/>
      <c r="D62" s="43"/>
      <c r="E62" s="46" t="s">
        <v>80</v>
      </c>
      <c r="F62" s="43"/>
      <c r="G62" s="293">
        <f>(-SUM(G47:G48)-'E-1.4 State Inc Tax Forecast'!G61)*G54</f>
        <v>-340136.55692111305</v>
      </c>
      <c r="H62" s="6"/>
      <c r="I62" s="260">
        <v>0</v>
      </c>
      <c r="J62" s="43"/>
      <c r="K62" s="293">
        <f>SUM(G62+I62)</f>
        <v>-340136.55692111305</v>
      </c>
      <c r="L62" s="6"/>
      <c r="M62" s="50"/>
    </row>
    <row r="63" spans="1:13">
      <c r="A63" s="121">
        <v>48</v>
      </c>
      <c r="B63" s="43"/>
      <c r="C63" s="43"/>
      <c r="D63" s="43"/>
      <c r="E63" s="51" t="s">
        <v>83</v>
      </c>
      <c r="F63" s="43"/>
      <c r="G63" s="316">
        <f>SUM(G59:G62)</f>
        <v>-1348242.0095715225</v>
      </c>
      <c r="H63" s="6"/>
      <c r="I63" s="316">
        <f>SUM(I59:I62)</f>
        <v>0</v>
      </c>
      <c r="J63" s="43"/>
      <c r="K63" s="316">
        <f>SUM(K59:K62)</f>
        <v>-1348242.0095715225</v>
      </c>
      <c r="L63" s="6"/>
      <c r="M63" s="50"/>
    </row>
    <row r="64" spans="1:13">
      <c r="A64" s="121">
        <v>49</v>
      </c>
      <c r="B64" s="43"/>
      <c r="C64" s="43"/>
      <c r="D64" s="43"/>
      <c r="E64" s="43"/>
      <c r="F64" s="43"/>
      <c r="G64" s="47"/>
      <c r="H64" s="6"/>
      <c r="I64" s="43"/>
      <c r="J64" s="43"/>
      <c r="K64" s="43"/>
      <c r="L64" s="6"/>
      <c r="M64" s="50"/>
    </row>
    <row r="65" spans="1:13">
      <c r="A65" s="121">
        <v>50</v>
      </c>
      <c r="B65" s="43"/>
      <c r="C65" s="49"/>
      <c r="D65" s="43"/>
      <c r="E65" s="49" t="s">
        <v>84</v>
      </c>
      <c r="F65" s="43"/>
      <c r="G65" s="47"/>
      <c r="H65" s="6"/>
      <c r="I65" s="43"/>
      <c r="J65" s="43"/>
      <c r="K65" s="43"/>
      <c r="L65" s="6"/>
      <c r="M65" s="50"/>
    </row>
    <row r="66" spans="1:13">
      <c r="A66" s="121">
        <v>51</v>
      </c>
      <c r="B66" s="43"/>
      <c r="C66" s="43"/>
      <c r="D66" s="43"/>
      <c r="E66" s="50" t="s">
        <v>85</v>
      </c>
      <c r="F66" s="43"/>
      <c r="G66" s="284">
        <f>+'Link In'!H257</f>
        <v>-54622.220440881763</v>
      </c>
      <c r="H66" s="6"/>
      <c r="I66" s="256">
        <v>0</v>
      </c>
      <c r="J66" s="43"/>
      <c r="K66" s="57">
        <f>SUM(G66+I66)</f>
        <v>-54622.220440881763</v>
      </c>
      <c r="L66" s="6"/>
      <c r="M66" s="50"/>
    </row>
    <row r="67" spans="1:13">
      <c r="A67" s="121">
        <v>52</v>
      </c>
      <c r="B67" s="43"/>
      <c r="C67" s="43"/>
      <c r="D67" s="43"/>
      <c r="E67" s="50"/>
      <c r="F67" s="43"/>
      <c r="G67" s="73"/>
      <c r="H67" s="6"/>
      <c r="I67" s="256"/>
      <c r="J67" s="43"/>
      <c r="K67" s="43"/>
      <c r="L67" s="6"/>
      <c r="M67" s="50"/>
    </row>
    <row r="68" spans="1:13">
      <c r="A68" s="121">
        <v>53</v>
      </c>
      <c r="B68" s="43"/>
      <c r="C68" s="43"/>
      <c r="D68" s="43"/>
      <c r="E68" s="74" t="s">
        <v>86</v>
      </c>
      <c r="F68" s="43"/>
      <c r="G68" s="73">
        <f>+'Link In'!H265</f>
        <v>-78492</v>
      </c>
      <c r="H68" s="6"/>
      <c r="I68" s="260">
        <v>0</v>
      </c>
      <c r="J68" s="43"/>
      <c r="K68" s="95">
        <f>SUM(G68+I68)</f>
        <v>-78492</v>
      </c>
      <c r="L68" s="6"/>
      <c r="M68" s="50"/>
    </row>
    <row r="69" spans="1:13" ht="15" thickBot="1">
      <c r="A69" s="121">
        <v>54</v>
      </c>
      <c r="B69" s="50"/>
      <c r="C69" s="50"/>
      <c r="D69" s="50"/>
      <c r="E69" s="68" t="s">
        <v>87</v>
      </c>
      <c r="F69" s="50"/>
      <c r="G69" s="315">
        <f>SUM(G63+G66+G68)</f>
        <v>-1481356.2300124043</v>
      </c>
      <c r="H69" s="6"/>
      <c r="I69" s="315">
        <f>SUM(I63+I66+I68)</f>
        <v>0</v>
      </c>
      <c r="J69" s="50"/>
      <c r="K69" s="315">
        <f>SUM(K63+K66+K68)</f>
        <v>-1481356.2300124043</v>
      </c>
      <c r="L69" s="6"/>
      <c r="M69" s="50"/>
    </row>
    <row r="70" spans="1:13" ht="15" thickTop="1">
      <c r="A70" s="121">
        <v>55</v>
      </c>
      <c r="B70" s="43"/>
      <c r="C70" s="43"/>
      <c r="D70" s="43"/>
      <c r="E70" s="43"/>
      <c r="F70" s="43"/>
      <c r="G70" s="43"/>
      <c r="H70" s="6"/>
      <c r="I70" s="43"/>
      <c r="J70" s="43"/>
      <c r="K70" s="43"/>
      <c r="L70" s="6"/>
      <c r="M70" s="50"/>
    </row>
    <row r="71" spans="1:13">
      <c r="A71" s="121">
        <v>56</v>
      </c>
      <c r="B71" s="43"/>
      <c r="C71" s="43"/>
      <c r="D71" s="43"/>
      <c r="E71" s="43"/>
      <c r="F71" s="43"/>
      <c r="G71" s="43"/>
      <c r="H71" s="6"/>
      <c r="I71" s="43"/>
      <c r="J71" s="43"/>
      <c r="K71" s="43"/>
      <c r="L71" s="6"/>
      <c r="M71" s="50"/>
    </row>
    <row r="72" spans="1:13" ht="15" thickBot="1">
      <c r="A72" s="121">
        <v>57</v>
      </c>
      <c r="B72" s="43"/>
      <c r="C72" s="43"/>
      <c r="D72" s="43"/>
      <c r="E72" s="53" t="s">
        <v>109</v>
      </c>
      <c r="F72" s="43"/>
      <c r="G72" s="285">
        <f>SUM(G55+G69)</f>
        <v>2125029.6676104907</v>
      </c>
      <c r="H72" s="6"/>
      <c r="I72" s="285">
        <f>SUM(I55+I69)</f>
        <v>3947566.7164669503</v>
      </c>
      <c r="J72" s="43"/>
      <c r="K72" s="285">
        <f>SUM(K55+K69)</f>
        <v>6072596.3840774409</v>
      </c>
      <c r="L72" s="6"/>
      <c r="M72" s="50"/>
    </row>
    <row r="73" spans="1:13" ht="15" thickTop="1">
      <c r="A73" s="121">
        <v>58</v>
      </c>
      <c r="B73" s="43"/>
      <c r="C73" s="43"/>
      <c r="D73" s="43"/>
      <c r="E73" s="43"/>
      <c r="F73" s="43"/>
      <c r="G73" s="43"/>
      <c r="H73" s="6"/>
      <c r="I73" s="43"/>
      <c r="J73" s="43"/>
      <c r="K73" s="43"/>
      <c r="L73" s="6"/>
      <c r="M73" s="43"/>
    </row>
    <row r="74" spans="1:13">
      <c r="A74" s="121">
        <v>59</v>
      </c>
      <c r="H74" s="6"/>
      <c r="I74" s="388" t="s">
        <v>279</v>
      </c>
      <c r="J74" s="389"/>
      <c r="K74" s="390">
        <f>SUM(K26,K33:K34,K29)*(0.21-0.05*0.21)+K66+K68</f>
        <v>6070161.2951004645</v>
      </c>
      <c r="L74" s="391"/>
    </row>
    <row r="75" spans="1:13">
      <c r="H75" s="116"/>
      <c r="I75" s="389"/>
      <c r="J75" s="389"/>
      <c r="K75" s="390">
        <f>K74-K72</f>
        <v>-2435.0889769764617</v>
      </c>
      <c r="L75" s="389" t="s">
        <v>280</v>
      </c>
    </row>
    <row r="76" spans="1:13">
      <c r="H76" s="116"/>
      <c r="L76" s="116"/>
    </row>
    <row r="77" spans="1:13">
      <c r="E77" s="370" t="s">
        <v>282</v>
      </c>
      <c r="G77" s="184">
        <f>+G72+'E-1.4 State Inc Tax Forecast'!G69</f>
        <v>2624883.2418520218</v>
      </c>
      <c r="I77" s="184">
        <f>+I72+'E-1.4 State Inc Tax Forecast'!I69</f>
        <v>4928449.0121704452</v>
      </c>
      <c r="K77" s="184">
        <f>+K72+'E-1.4 State Inc Tax Forecast'!K69</f>
        <v>7553332.254022466</v>
      </c>
    </row>
  </sheetData>
  <mergeCells count="4">
    <mergeCell ref="A5:K5"/>
    <mergeCell ref="A6:K6"/>
    <mergeCell ref="A7:K7"/>
    <mergeCell ref="A4:K4"/>
  </mergeCells>
  <pageMargins left="0.7" right="0.7" top="0.75" bottom="0.75" header="0.3" footer="0.3"/>
  <pageSetup scale="50" orientation="portrait" verticalDpi="1200"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82"/>
  <sheetViews>
    <sheetView zoomScale="80" zoomScaleNormal="80" workbookViewId="0">
      <pane ySplit="15" topLeftCell="A16" activePane="bottomLeft" state="frozen"/>
      <selection pane="bottomLeft" activeCell="A16" sqref="A16"/>
    </sheetView>
  </sheetViews>
  <sheetFormatPr defaultRowHeight="14.4"/>
  <cols>
    <col min="2" max="2" width="1.5546875" customWidth="1"/>
    <col min="3" max="3" width="9.5546875" customWidth="1"/>
    <col min="4" max="4" width="1.5546875" customWidth="1"/>
    <col min="5" max="5" width="72.5546875" bestFit="1" customWidth="1"/>
    <col min="6" max="6" width="1.5546875" customWidth="1"/>
    <col min="7" max="7" width="19.5546875" bestFit="1" customWidth="1"/>
    <col min="8" max="8" width="1.5546875" customWidth="1"/>
    <col min="9" max="9" width="17.44140625" bestFit="1" customWidth="1"/>
    <col min="10" max="10" width="1.5546875" customWidth="1"/>
    <col min="11" max="11" width="18.5546875" customWidth="1"/>
    <col min="12" max="12" width="14.88671875" bestFit="1" customWidth="1"/>
    <col min="14" max="14" width="1.5546875" customWidth="1"/>
    <col min="16" max="16" width="1.5546875" customWidth="1"/>
    <col min="18" max="18" width="1.5546875" customWidth="1"/>
    <col min="20" max="20" width="1.5546875" customWidth="1"/>
    <col min="22" max="22" width="1.5546875" customWidth="1"/>
    <col min="24" max="24" width="1.5546875" customWidth="1"/>
    <col min="26" max="26" width="1.5546875" customWidth="1"/>
    <col min="28" max="28" width="1.5546875" customWidth="1"/>
    <col min="30" max="30" width="1.5546875" customWidth="1"/>
  </cols>
  <sheetData>
    <row r="1" spans="1:13">
      <c r="A1" s="145" t="s">
        <v>11</v>
      </c>
      <c r="B1" s="145"/>
      <c r="C1" s="145"/>
      <c r="D1" s="145"/>
      <c r="E1" s="145"/>
      <c r="F1" s="145"/>
      <c r="G1" s="145"/>
      <c r="H1" s="145"/>
      <c r="I1" s="122"/>
      <c r="J1" s="122"/>
      <c r="K1" s="91" t="s">
        <v>198</v>
      </c>
      <c r="L1" s="91"/>
    </row>
    <row r="2" spans="1:13">
      <c r="A2" s="145" t="s">
        <v>12</v>
      </c>
      <c r="B2" s="145"/>
      <c r="C2" s="145"/>
      <c r="D2" s="145"/>
      <c r="E2" s="145"/>
      <c r="F2" s="145"/>
      <c r="G2" s="145"/>
      <c r="H2" s="145"/>
      <c r="I2" s="122"/>
      <c r="J2" s="122"/>
      <c r="K2" s="146" t="str">
        <f ca="1">RIGHT(CELL("filename",$A$1),LEN(CELL("filename",$A$1))-SEARCH("\Taxes",CELL("filename",$A$1),1))</f>
        <v>Taxes\[KAWC 2018 Rate Case - Income Tax Exhibit.xlsx]E-1.4 State Inc Tax Forecast</v>
      </c>
      <c r="L2" s="146"/>
    </row>
    <row r="3" spans="1:13">
      <c r="A3" s="122"/>
      <c r="B3" s="122"/>
      <c r="C3" s="122"/>
      <c r="D3" s="122"/>
      <c r="E3" s="122"/>
      <c r="F3" s="122"/>
      <c r="G3" s="122"/>
      <c r="H3" s="122"/>
      <c r="I3" s="122"/>
      <c r="J3" s="122"/>
      <c r="K3" s="122"/>
      <c r="L3" s="122"/>
    </row>
    <row r="4" spans="1:13">
      <c r="A4" s="406" t="str">
        <f>'Link In'!A1</f>
        <v>Kentucky American Water Company</v>
      </c>
      <c r="B4" s="406"/>
      <c r="C4" s="406"/>
      <c r="D4" s="406"/>
      <c r="E4" s="406"/>
      <c r="F4" s="406"/>
      <c r="G4" s="406"/>
      <c r="H4" s="406"/>
      <c r="I4" s="406"/>
      <c r="J4" s="406"/>
      <c r="K4" s="406"/>
      <c r="L4" s="122"/>
    </row>
    <row r="5" spans="1:13">
      <c r="A5" s="406" t="str">
        <f>'Link In'!A3</f>
        <v>Case No. 2018-00358</v>
      </c>
      <c r="B5" s="406"/>
      <c r="C5" s="406"/>
      <c r="D5" s="406"/>
      <c r="E5" s="406"/>
      <c r="F5" s="406"/>
      <c r="G5" s="406"/>
      <c r="H5" s="406"/>
      <c r="I5" s="406"/>
      <c r="J5" s="406"/>
      <c r="K5" s="406"/>
      <c r="L5" s="134"/>
    </row>
    <row r="6" spans="1:13">
      <c r="A6" s="406" t="str">
        <f>'Link In'!A34</f>
        <v>Base Year Adjustment Federal and State Taxes</v>
      </c>
      <c r="B6" s="406"/>
      <c r="C6" s="406"/>
      <c r="D6" s="406"/>
      <c r="E6" s="406"/>
      <c r="F6" s="406"/>
      <c r="G6" s="406"/>
      <c r="H6" s="406"/>
      <c r="I6" s="406"/>
      <c r="J6" s="406"/>
      <c r="K6" s="406"/>
      <c r="L6" s="134"/>
    </row>
    <row r="7" spans="1:13">
      <c r="A7" s="406" t="s">
        <v>247</v>
      </c>
      <c r="B7" s="406"/>
      <c r="C7" s="406"/>
      <c r="D7" s="406"/>
      <c r="E7" s="406"/>
      <c r="F7" s="406"/>
      <c r="G7" s="406"/>
      <c r="H7" s="406"/>
      <c r="I7" s="406"/>
      <c r="J7" s="406"/>
      <c r="K7" s="406"/>
      <c r="L7" s="134"/>
    </row>
    <row r="8" spans="1:13">
      <c r="A8" s="122"/>
      <c r="B8" s="122"/>
      <c r="C8" s="122"/>
      <c r="D8" s="122"/>
      <c r="E8" s="122"/>
      <c r="F8" s="122"/>
      <c r="G8" s="122"/>
      <c r="H8" s="122"/>
      <c r="I8" s="122"/>
      <c r="J8" s="122"/>
      <c r="K8" s="122"/>
      <c r="L8" s="134"/>
    </row>
    <row r="9" spans="1:13">
      <c r="A9" s="299" t="str">
        <f>'Link In'!A28</f>
        <v>Witness Responsible:   John Wilde</v>
      </c>
      <c r="B9" s="122"/>
      <c r="C9" s="122"/>
      <c r="D9" s="122"/>
      <c r="E9" s="122"/>
      <c r="F9" s="122"/>
      <c r="G9" s="122"/>
      <c r="H9" s="122"/>
      <c r="I9" s="122"/>
      <c r="J9" s="122"/>
      <c r="K9" s="299" t="str">
        <f>'Link In'!A36</f>
        <v>W/P - 6-1</v>
      </c>
      <c r="L9" s="134"/>
    </row>
    <row r="10" spans="1:13">
      <c r="A10" s="299" t="str">
        <f>'Link In'!A15</f>
        <v>Type of Filing: __X__ Original  _____ Updated  _____ Revised</v>
      </c>
      <c r="B10" s="122"/>
      <c r="C10" s="122"/>
      <c r="D10" s="122"/>
      <c r="E10" s="122"/>
      <c r="F10" s="122"/>
      <c r="G10" s="122"/>
      <c r="H10" s="122"/>
      <c r="I10" s="122"/>
      <c r="J10" s="122"/>
      <c r="K10" s="122"/>
      <c r="L10" s="122"/>
    </row>
    <row r="11" spans="1:13" ht="15.6">
      <c r="A11" s="111"/>
      <c r="B11" s="81"/>
      <c r="C11" s="81"/>
      <c r="D11" s="81"/>
      <c r="E11" s="81"/>
      <c r="F11" s="81"/>
      <c r="G11" s="81"/>
      <c r="H11" s="81"/>
      <c r="I11" s="81"/>
      <c r="J11" s="81"/>
      <c r="K11" s="81"/>
      <c r="L11" s="112"/>
    </row>
    <row r="12" spans="1:13" ht="15.6">
      <c r="A12" s="111"/>
      <c r="B12" s="81"/>
      <c r="C12" s="81"/>
      <c r="D12" s="81"/>
      <c r="E12" s="81"/>
      <c r="F12" s="81"/>
      <c r="G12" s="81"/>
      <c r="H12" s="81"/>
      <c r="I12" s="81"/>
      <c r="J12" s="81"/>
      <c r="K12" s="81"/>
      <c r="L12" s="112"/>
    </row>
    <row r="13" spans="1:13">
      <c r="A13" s="81"/>
      <c r="B13" s="81"/>
      <c r="C13" s="81"/>
      <c r="D13" s="81"/>
      <c r="E13" s="81"/>
      <c r="F13" s="81"/>
      <c r="G13" s="93" t="s">
        <v>34</v>
      </c>
      <c r="H13" s="81"/>
      <c r="I13" s="81"/>
      <c r="J13" s="81"/>
      <c r="K13" s="81"/>
      <c r="L13" s="81"/>
    </row>
    <row r="14" spans="1:13">
      <c r="A14" s="81"/>
      <c r="B14" s="81"/>
      <c r="C14" s="81"/>
      <c r="D14" s="81"/>
      <c r="E14" s="81"/>
      <c r="F14" s="81"/>
      <c r="G14" s="93" t="s">
        <v>90</v>
      </c>
      <c r="H14" s="81"/>
      <c r="I14" s="94" t="s">
        <v>101</v>
      </c>
      <c r="J14" s="81"/>
      <c r="K14" s="94" t="s">
        <v>102</v>
      </c>
      <c r="L14" s="81"/>
    </row>
    <row r="15" spans="1:13">
      <c r="A15" s="92" t="s">
        <v>7</v>
      </c>
      <c r="B15" s="93"/>
      <c r="C15" s="92" t="s">
        <v>37</v>
      </c>
      <c r="D15" s="94"/>
      <c r="E15" s="92" t="s">
        <v>38</v>
      </c>
      <c r="F15" s="94"/>
      <c r="G15" s="92" t="s">
        <v>102</v>
      </c>
      <c r="H15" s="88"/>
      <c r="I15" s="92" t="s">
        <v>40</v>
      </c>
      <c r="J15" s="81"/>
      <c r="K15" s="92" t="s">
        <v>101</v>
      </c>
      <c r="L15" s="81"/>
      <c r="M15" s="81"/>
    </row>
    <row r="16" spans="1:13">
      <c r="A16" s="97">
        <v>1</v>
      </c>
      <c r="B16" s="81"/>
      <c r="C16" s="87" t="s">
        <v>41</v>
      </c>
      <c r="D16" s="81"/>
      <c r="E16" s="87"/>
      <c r="F16" s="81"/>
      <c r="G16" s="81"/>
      <c r="H16" s="81"/>
      <c r="I16" s="81"/>
      <c r="J16" s="81"/>
      <c r="K16" s="81"/>
      <c r="L16" s="81"/>
      <c r="M16" s="81"/>
    </row>
    <row r="17" spans="1:13">
      <c r="A17" s="97">
        <v>2</v>
      </c>
      <c r="B17" s="81"/>
      <c r="C17" s="87"/>
      <c r="D17" s="81"/>
      <c r="E17" s="81" t="s">
        <v>42</v>
      </c>
      <c r="F17" s="81"/>
      <c r="G17" s="184">
        <f>'Link In'!D98</f>
        <v>88516166</v>
      </c>
      <c r="H17" s="6"/>
      <c r="I17" s="184">
        <f>K17-G17</f>
        <v>20001660.71353972</v>
      </c>
      <c r="J17" s="81"/>
      <c r="K17" s="156">
        <f>'Link In'!F98</f>
        <v>108517826.71353972</v>
      </c>
      <c r="L17" s="6"/>
      <c r="M17" s="81"/>
    </row>
    <row r="18" spans="1:13">
      <c r="A18" s="97">
        <v>3</v>
      </c>
      <c r="B18" s="81"/>
      <c r="C18" s="87"/>
      <c r="D18" s="81"/>
      <c r="E18" s="81"/>
      <c r="F18" s="81"/>
      <c r="G18" s="82"/>
      <c r="H18" s="6"/>
      <c r="I18" s="81"/>
      <c r="J18" s="81"/>
      <c r="K18" s="160"/>
      <c r="L18" s="6"/>
      <c r="M18" s="88"/>
    </row>
    <row r="19" spans="1:13">
      <c r="A19" s="97">
        <v>4</v>
      </c>
      <c r="B19" s="81"/>
      <c r="C19" s="87" t="s">
        <v>43</v>
      </c>
      <c r="D19" s="81"/>
      <c r="E19" s="87"/>
      <c r="F19" s="81"/>
      <c r="G19" s="81"/>
      <c r="H19" s="6"/>
      <c r="I19" s="81"/>
      <c r="J19" s="81"/>
      <c r="K19" s="160"/>
      <c r="L19" s="6"/>
      <c r="M19" s="88"/>
    </row>
    <row r="20" spans="1:13">
      <c r="A20" s="97">
        <v>5</v>
      </c>
      <c r="B20" s="81"/>
      <c r="C20" s="81"/>
      <c r="D20" s="81"/>
      <c r="E20" s="81" t="s">
        <v>44</v>
      </c>
      <c r="F20" s="81"/>
      <c r="G20" s="256">
        <f>-'Link In'!D103</f>
        <v>-37805850.987251282</v>
      </c>
      <c r="H20" s="6"/>
      <c r="I20" s="256">
        <f>K20-G20</f>
        <v>-182838.8950419575</v>
      </c>
      <c r="J20" s="256"/>
      <c r="K20" s="160">
        <f>-'Link In'!F103</f>
        <v>-37988689.882293239</v>
      </c>
      <c r="L20" s="6"/>
      <c r="M20" s="113"/>
    </row>
    <row r="21" spans="1:13">
      <c r="A21" s="121">
        <v>6</v>
      </c>
      <c r="B21" s="81"/>
      <c r="C21" s="81"/>
      <c r="D21" s="81"/>
      <c r="E21" s="81" t="s">
        <v>45</v>
      </c>
      <c r="F21" s="81"/>
      <c r="G21" s="256">
        <f>-SUM('Link In'!D104:D107)</f>
        <v>-18671407.914117441</v>
      </c>
      <c r="H21" s="6"/>
      <c r="I21" s="256">
        <f>K21-G21</f>
        <v>0</v>
      </c>
      <c r="J21" s="256"/>
      <c r="K21" s="160">
        <f>-SUM('Link In'!F104:F107)</f>
        <v>-18671407.914117441</v>
      </c>
      <c r="L21" s="6"/>
      <c r="M21" s="88"/>
    </row>
    <row r="22" spans="1:13">
      <c r="A22" s="121">
        <v>7</v>
      </c>
      <c r="B22" s="81"/>
      <c r="C22" s="81"/>
      <c r="D22" s="81"/>
      <c r="E22" s="81" t="s">
        <v>46</v>
      </c>
      <c r="F22" s="81"/>
      <c r="G22" s="256">
        <f>-'Link In'!D111</f>
        <v>-7822213</v>
      </c>
      <c r="H22" s="6"/>
      <c r="I22" s="256">
        <f>K22-G22</f>
        <v>-40002.777713552117</v>
      </c>
      <c r="J22" s="256"/>
      <c r="K22" s="160">
        <f>-'Link In'!F111</f>
        <v>-7862215.7777135521</v>
      </c>
      <c r="L22" s="6"/>
      <c r="M22" s="88"/>
    </row>
    <row r="23" spans="1:13">
      <c r="A23" s="121">
        <v>8</v>
      </c>
      <c r="B23" s="81"/>
      <c r="C23" s="81"/>
      <c r="D23" s="81"/>
      <c r="E23" s="84" t="s">
        <v>48</v>
      </c>
      <c r="F23" s="88"/>
      <c r="G23" s="260">
        <f>-'Link In'!C119</f>
        <v>-13233347</v>
      </c>
      <c r="H23" s="6"/>
      <c r="I23" s="256">
        <f>K23-G23</f>
        <v>-161173.12671432272</v>
      </c>
      <c r="J23" s="256"/>
      <c r="K23" s="160">
        <f>-'Link In'!G119</f>
        <v>-13394520.126714323</v>
      </c>
      <c r="L23" s="6"/>
      <c r="M23" s="110"/>
    </row>
    <row r="24" spans="1:13">
      <c r="A24" s="121">
        <v>9</v>
      </c>
      <c r="B24" s="81"/>
      <c r="C24" s="81"/>
      <c r="D24" s="81"/>
      <c r="E24" s="89" t="s">
        <v>103</v>
      </c>
      <c r="F24" s="88"/>
      <c r="G24" s="322">
        <f>SUM(G20:G23)</f>
        <v>-77532818.901368722</v>
      </c>
      <c r="H24" s="7"/>
      <c r="I24" s="322">
        <f>SUM(I20:I23)</f>
        <v>-384014.79946983233</v>
      </c>
      <c r="J24" s="81"/>
      <c r="K24" s="322">
        <f>SUM(K20:K23)</f>
        <v>-77916833.700838551</v>
      </c>
      <c r="L24" s="7"/>
      <c r="M24" s="88"/>
    </row>
    <row r="25" spans="1:13">
      <c r="A25" s="121">
        <v>10</v>
      </c>
      <c r="B25" s="81"/>
      <c r="C25" s="81"/>
      <c r="D25" s="81"/>
      <c r="E25" s="89"/>
      <c r="F25" s="88"/>
      <c r="G25" s="99"/>
      <c r="H25" s="6"/>
      <c r="I25" s="81"/>
      <c r="J25" s="81"/>
      <c r="K25" s="160"/>
      <c r="L25" s="6"/>
      <c r="M25" s="88"/>
    </row>
    <row r="26" spans="1:13">
      <c r="A26" s="121">
        <v>11</v>
      </c>
      <c r="B26" s="81"/>
      <c r="C26" s="81"/>
      <c r="D26" s="81"/>
      <c r="E26" s="89" t="s">
        <v>104</v>
      </c>
      <c r="F26" s="81"/>
      <c r="G26" s="282">
        <f>SUM(G17+G24)</f>
        <v>10983347.098631278</v>
      </c>
      <c r="H26" s="7"/>
      <c r="I26" s="282">
        <f>SUM(I17+I24)</f>
        <v>19617645.914069887</v>
      </c>
      <c r="J26" s="81"/>
      <c r="K26" s="282">
        <f>SUM(K17+K24)</f>
        <v>30600993.012701169</v>
      </c>
      <c r="L26" s="7"/>
      <c r="M26" s="88"/>
    </row>
    <row r="27" spans="1:13" s="302" customFormat="1">
      <c r="A27" s="121">
        <v>12</v>
      </c>
      <c r="E27" s="89"/>
      <c r="G27" s="282"/>
      <c r="H27" s="7"/>
      <c r="I27" s="282"/>
      <c r="K27" s="282"/>
      <c r="L27" s="7"/>
      <c r="M27" s="227"/>
    </row>
    <row r="28" spans="1:13" s="302" customFormat="1">
      <c r="A28" s="121">
        <v>13</v>
      </c>
      <c r="E28" s="227" t="s">
        <v>238</v>
      </c>
      <c r="F28" s="227"/>
      <c r="G28" s="113">
        <f>-G65</f>
        <v>62374.111252666509</v>
      </c>
      <c r="H28" s="6"/>
      <c r="I28" s="256">
        <f>K28-G28</f>
        <v>0</v>
      </c>
      <c r="J28" s="256"/>
      <c r="K28" s="160">
        <f>-K65</f>
        <v>62374.111252666509</v>
      </c>
      <c r="L28" s="7"/>
      <c r="M28" s="227"/>
    </row>
    <row r="29" spans="1:13">
      <c r="A29" s="121">
        <v>14</v>
      </c>
      <c r="B29" s="81"/>
      <c r="C29" s="81"/>
      <c r="D29" s="81"/>
      <c r="E29" s="81"/>
      <c r="F29" s="81"/>
      <c r="G29" s="81"/>
      <c r="H29" s="6"/>
      <c r="I29" s="81"/>
      <c r="J29" s="81"/>
      <c r="K29" s="81"/>
      <c r="L29" s="6"/>
      <c r="M29" s="88"/>
    </row>
    <row r="30" spans="1:13">
      <c r="A30" s="121">
        <v>15</v>
      </c>
      <c r="B30" s="81"/>
      <c r="C30" s="87" t="s">
        <v>51</v>
      </c>
      <c r="D30" s="81"/>
      <c r="E30" s="81"/>
      <c r="F30" s="81"/>
      <c r="G30" s="81"/>
      <c r="H30" s="6"/>
      <c r="I30" s="81"/>
      <c r="J30" s="81"/>
      <c r="K30" s="81"/>
      <c r="L30" s="6"/>
      <c r="M30" s="88"/>
    </row>
    <row r="31" spans="1:13" ht="28.8">
      <c r="A31" s="121">
        <v>16</v>
      </c>
      <c r="B31" s="81"/>
      <c r="C31" s="81"/>
      <c r="D31" s="81"/>
      <c r="E31" s="105" t="s">
        <v>52</v>
      </c>
      <c r="F31" s="81"/>
      <c r="G31" s="357"/>
      <c r="H31" s="6"/>
      <c r="I31" s="81"/>
      <c r="J31" s="81"/>
      <c r="K31" s="81"/>
      <c r="L31" s="6"/>
      <c r="M31" s="88"/>
    </row>
    <row r="32" spans="1:13">
      <c r="A32" s="121">
        <v>17</v>
      </c>
      <c r="B32" s="81"/>
      <c r="C32" s="81"/>
      <c r="D32" s="81"/>
      <c r="E32" s="86" t="s">
        <v>53</v>
      </c>
      <c r="F32" s="81"/>
      <c r="G32" s="263">
        <f>(+'Link In'!C124)*0.5</f>
        <v>22387.5</v>
      </c>
      <c r="H32" s="6"/>
      <c r="I32" s="256">
        <v>0</v>
      </c>
      <c r="J32" s="81"/>
      <c r="K32" s="83">
        <f>SUM(G32+I32)</f>
        <v>22387.5</v>
      </c>
      <c r="L32" s="6"/>
      <c r="M32" s="88"/>
    </row>
    <row r="33" spans="1:13">
      <c r="A33" s="121">
        <v>18</v>
      </c>
      <c r="B33" s="81"/>
      <c r="C33" s="81"/>
      <c r="D33" s="81"/>
      <c r="E33" s="90" t="s">
        <v>54</v>
      </c>
      <c r="F33" s="81"/>
      <c r="G33" s="104">
        <f>'Link In'!C120</f>
        <v>176445</v>
      </c>
      <c r="H33" s="6"/>
      <c r="I33" s="260">
        <v>0</v>
      </c>
      <c r="J33" s="81"/>
      <c r="K33" s="260">
        <f>SUM(G33+I33)</f>
        <v>176445</v>
      </c>
      <c r="L33" s="6"/>
      <c r="M33" s="88"/>
    </row>
    <row r="34" spans="1:13">
      <c r="A34" s="121">
        <v>19</v>
      </c>
      <c r="B34" s="81"/>
      <c r="C34" s="81"/>
      <c r="D34" s="81"/>
      <c r="E34" s="91" t="s">
        <v>105</v>
      </c>
      <c r="F34" s="81"/>
      <c r="G34" s="282">
        <f>SUM(G26+G32+G33+G28)</f>
        <v>11244553.709883945</v>
      </c>
      <c r="H34" s="6"/>
      <c r="I34" s="282">
        <f>SUM(I26+I32+I33+I28)</f>
        <v>19617645.914069887</v>
      </c>
      <c r="J34" s="81"/>
      <c r="K34" s="282">
        <f>SUM(K26+K32+K33+K28)</f>
        <v>30862199.623953834</v>
      </c>
      <c r="L34" s="6"/>
      <c r="M34" s="88"/>
    </row>
    <row r="35" spans="1:13">
      <c r="A35" s="121">
        <v>20</v>
      </c>
      <c r="B35" s="81"/>
      <c r="C35" s="81"/>
      <c r="D35" s="81"/>
      <c r="E35" s="81"/>
      <c r="F35" s="81"/>
      <c r="G35" s="326"/>
      <c r="H35" s="6"/>
      <c r="I35" s="326"/>
      <c r="J35" s="81"/>
      <c r="K35" s="81"/>
      <c r="L35" s="6"/>
      <c r="M35" s="88"/>
    </row>
    <row r="36" spans="1:13" ht="28.8">
      <c r="A36" s="121">
        <v>21</v>
      </c>
      <c r="B36" s="81"/>
      <c r="C36" s="96"/>
      <c r="D36" s="96"/>
      <c r="E36" s="108" t="s">
        <v>56</v>
      </c>
      <c r="F36" s="96"/>
      <c r="G36" s="81"/>
      <c r="H36" s="6"/>
      <c r="I36" s="81"/>
      <c r="J36" s="81"/>
      <c r="K36" s="81"/>
      <c r="L36" s="6"/>
      <c r="M36" s="88"/>
    </row>
    <row r="37" spans="1:13">
      <c r="A37" s="121">
        <v>22</v>
      </c>
      <c r="B37" s="81"/>
      <c r="C37" s="109"/>
      <c r="D37" s="96"/>
      <c r="E37" s="106" t="s">
        <v>57</v>
      </c>
      <c r="F37" s="96"/>
      <c r="G37" s="256">
        <f>-'Link In'!C127</f>
        <v>-16549934.214430092</v>
      </c>
      <c r="H37" s="6"/>
      <c r="I37" s="256">
        <v>0</v>
      </c>
      <c r="J37" s="256"/>
      <c r="K37" s="256">
        <f>G37</f>
        <v>-16549934.214430092</v>
      </c>
      <c r="L37" s="6"/>
      <c r="M37" s="88"/>
    </row>
    <row r="38" spans="1:13">
      <c r="A38" s="121">
        <v>23</v>
      </c>
      <c r="B38" s="81"/>
      <c r="C38" s="109"/>
      <c r="D38" s="96"/>
      <c r="E38" s="106" t="s">
        <v>58</v>
      </c>
      <c r="F38" s="96"/>
      <c r="G38" s="113">
        <f>'Link In'!C129</f>
        <v>17759786.526808504</v>
      </c>
      <c r="H38" s="6"/>
      <c r="I38" s="256">
        <v>0</v>
      </c>
      <c r="J38" s="256"/>
      <c r="K38" s="256">
        <f t="shared" ref="K38:K47" si="0">G38</f>
        <v>17759786.526808504</v>
      </c>
      <c r="L38" s="6"/>
      <c r="M38" s="88"/>
    </row>
    <row r="39" spans="1:13">
      <c r="A39" s="121">
        <v>24</v>
      </c>
      <c r="B39" s="81"/>
      <c r="C39" s="109"/>
      <c r="D39" s="96"/>
      <c r="E39" s="106" t="s">
        <v>59</v>
      </c>
      <c r="F39" s="96"/>
      <c r="G39" s="114">
        <f>'Link In'!C131</f>
        <v>57085.98</v>
      </c>
      <c r="H39" s="6"/>
      <c r="I39" s="256">
        <v>0</v>
      </c>
      <c r="J39" s="256"/>
      <c r="K39" s="256">
        <f t="shared" si="0"/>
        <v>57085.98</v>
      </c>
      <c r="L39" s="6"/>
      <c r="M39" s="88"/>
    </row>
    <row r="40" spans="1:13">
      <c r="A40" s="121">
        <v>25</v>
      </c>
      <c r="B40" s="81"/>
      <c r="C40" s="109"/>
      <c r="D40" s="96"/>
      <c r="E40" s="106" t="s">
        <v>60</v>
      </c>
      <c r="F40" s="96"/>
      <c r="G40" s="113">
        <v>0</v>
      </c>
      <c r="H40" s="6"/>
      <c r="I40" s="256">
        <v>0</v>
      </c>
      <c r="J40" s="256"/>
      <c r="K40" s="256">
        <f t="shared" si="0"/>
        <v>0</v>
      </c>
      <c r="L40" s="6"/>
      <c r="M40" s="88"/>
    </row>
    <row r="41" spans="1:13">
      <c r="A41" s="121">
        <v>26</v>
      </c>
      <c r="B41" s="81"/>
      <c r="C41" s="109"/>
      <c r="D41" s="96"/>
      <c r="E41" s="106" t="s">
        <v>61</v>
      </c>
      <c r="F41" s="96"/>
      <c r="G41" s="114">
        <f>'Link In'!C133</f>
        <v>1091902</v>
      </c>
      <c r="H41" s="6"/>
      <c r="I41" s="256">
        <v>0</v>
      </c>
      <c r="J41" s="256"/>
      <c r="K41" s="256">
        <f t="shared" si="0"/>
        <v>1091902</v>
      </c>
      <c r="L41" s="6"/>
      <c r="M41" s="88"/>
    </row>
    <row r="42" spans="1:13">
      <c r="A42" s="121">
        <v>27</v>
      </c>
      <c r="B42" s="81"/>
      <c r="C42" s="109"/>
      <c r="D42" s="96"/>
      <c r="E42" s="106" t="s">
        <v>62</v>
      </c>
      <c r="F42" s="96"/>
      <c r="G42" s="115">
        <f>-'Link In'!C134</f>
        <v>-1500000</v>
      </c>
      <c r="H42" s="6"/>
      <c r="I42" s="256">
        <v>0</v>
      </c>
      <c r="J42" s="256"/>
      <c r="K42" s="256">
        <f t="shared" si="0"/>
        <v>-1500000</v>
      </c>
      <c r="L42" s="6"/>
      <c r="M42" s="88"/>
    </row>
    <row r="43" spans="1:13">
      <c r="A43" s="121">
        <v>28</v>
      </c>
      <c r="B43" s="81"/>
      <c r="C43" s="109"/>
      <c r="D43" s="96"/>
      <c r="E43" s="106" t="s">
        <v>63</v>
      </c>
      <c r="F43" s="96"/>
      <c r="G43" s="115">
        <f>'Link In'!C137</f>
        <v>-2416731.1434357874</v>
      </c>
      <c r="H43" s="6"/>
      <c r="I43" s="256">
        <v>0</v>
      </c>
      <c r="J43" s="256"/>
      <c r="K43" s="256">
        <f t="shared" si="0"/>
        <v>-2416731.1434357874</v>
      </c>
      <c r="L43" s="6"/>
      <c r="M43" s="88"/>
    </row>
    <row r="44" spans="1:13">
      <c r="A44" s="121">
        <v>29</v>
      </c>
      <c r="B44" s="81"/>
      <c r="C44" s="109"/>
      <c r="D44" s="96"/>
      <c r="E44" s="106" t="s">
        <v>64</v>
      </c>
      <c r="F44" s="96"/>
      <c r="G44" s="115">
        <f>'Link In'!C138</f>
        <v>7984616.6338227838</v>
      </c>
      <c r="H44" s="269"/>
      <c r="I44" s="256">
        <v>0</v>
      </c>
      <c r="J44" s="256"/>
      <c r="K44" s="256">
        <f t="shared" si="0"/>
        <v>7984616.6338227838</v>
      </c>
      <c r="L44" s="6"/>
      <c r="M44" s="88"/>
    </row>
    <row r="45" spans="1:13">
      <c r="A45" s="121">
        <v>30</v>
      </c>
      <c r="B45" s="81"/>
      <c r="C45" s="109"/>
      <c r="D45" s="96"/>
      <c r="E45" s="106" t="s">
        <v>65</v>
      </c>
      <c r="F45" s="96"/>
      <c r="G45" s="114">
        <f>-'Link In'!C139</f>
        <v>-4230368.7769989409</v>
      </c>
      <c r="H45" s="6"/>
      <c r="I45" s="256">
        <v>0</v>
      </c>
      <c r="J45" s="256"/>
      <c r="K45" s="256">
        <f t="shared" si="0"/>
        <v>-4230368.7769989409</v>
      </c>
      <c r="L45" s="6"/>
      <c r="M45" s="88"/>
    </row>
    <row r="46" spans="1:13">
      <c r="A46" s="121">
        <v>31</v>
      </c>
      <c r="B46" s="81"/>
      <c r="C46" s="109"/>
      <c r="D46" s="96"/>
      <c r="E46" s="106" t="s">
        <v>89</v>
      </c>
      <c r="F46" s="96"/>
      <c r="G46" s="114">
        <f>'Link In'!C140</f>
        <v>3056122.1474742508</v>
      </c>
      <c r="H46" s="6"/>
      <c r="I46" s="256">
        <v>0</v>
      </c>
      <c r="J46" s="256"/>
      <c r="K46" s="256">
        <f t="shared" si="0"/>
        <v>3056122.1474742508</v>
      </c>
      <c r="L46" s="6"/>
      <c r="M46" s="88"/>
    </row>
    <row r="47" spans="1:13">
      <c r="A47" s="121">
        <v>32</v>
      </c>
      <c r="B47" s="81"/>
      <c r="C47" s="109"/>
      <c r="D47" s="96"/>
      <c r="E47" s="100" t="s">
        <v>66</v>
      </c>
      <c r="F47" s="96"/>
      <c r="G47" s="258">
        <f>-'Link In'!C141</f>
        <v>-1351177</v>
      </c>
      <c r="H47" s="6"/>
      <c r="I47" s="260">
        <v>0</v>
      </c>
      <c r="J47" s="256"/>
      <c r="K47" s="258">
        <f t="shared" si="0"/>
        <v>-1351177</v>
      </c>
      <c r="L47" s="6"/>
      <c r="M47" s="88"/>
    </row>
    <row r="48" spans="1:13">
      <c r="A48" s="121">
        <v>33</v>
      </c>
      <c r="B48" s="81"/>
      <c r="C48" s="96"/>
      <c r="D48" s="96"/>
      <c r="E48" s="89" t="s">
        <v>106</v>
      </c>
      <c r="F48" s="96"/>
      <c r="G48" s="184">
        <f>SUM(G37:G47)</f>
        <v>3901302.1532407189</v>
      </c>
      <c r="H48" s="6"/>
      <c r="I48" s="184">
        <f>SUM(I37:I47)</f>
        <v>0</v>
      </c>
      <c r="J48" s="81"/>
      <c r="K48" s="184">
        <f>SUM(K37:K47)</f>
        <v>3901302.1532407189</v>
      </c>
      <c r="L48" s="6"/>
      <c r="M48" s="88"/>
    </row>
    <row r="49" spans="1:13">
      <c r="A49" s="121">
        <v>34</v>
      </c>
      <c r="B49" s="81"/>
      <c r="C49" s="96"/>
      <c r="D49" s="96"/>
      <c r="E49" s="96"/>
      <c r="F49" s="96"/>
      <c r="G49" s="81"/>
      <c r="H49" s="6"/>
      <c r="I49" s="81"/>
      <c r="J49" s="81"/>
      <c r="K49" s="81"/>
      <c r="L49" s="6"/>
      <c r="M49" s="88"/>
    </row>
    <row r="50" spans="1:13" ht="15" thickBot="1">
      <c r="A50" s="121">
        <v>35</v>
      </c>
      <c r="B50" s="81"/>
      <c r="C50" s="81"/>
      <c r="D50" s="81"/>
      <c r="E50" s="89" t="s">
        <v>107</v>
      </c>
      <c r="F50" s="81"/>
      <c r="G50" s="285">
        <f>SUM(G34+G48)</f>
        <v>15145855.863124665</v>
      </c>
      <c r="H50" s="6"/>
      <c r="I50" s="285">
        <f>SUM(I34+I48)</f>
        <v>19617645.914069887</v>
      </c>
      <c r="J50" s="81"/>
      <c r="K50" s="285">
        <f>SUM(K34+K48)</f>
        <v>34763501.777194552</v>
      </c>
      <c r="L50" s="6"/>
      <c r="M50" s="88"/>
    </row>
    <row r="51" spans="1:13" ht="15" thickTop="1">
      <c r="A51" s="121">
        <v>36</v>
      </c>
      <c r="B51" s="81"/>
      <c r="C51" s="81"/>
      <c r="D51" s="81"/>
      <c r="E51" s="98"/>
      <c r="F51" s="81"/>
      <c r="G51" s="102"/>
      <c r="H51" s="6"/>
      <c r="I51" s="81"/>
      <c r="J51" s="81"/>
      <c r="K51" s="81"/>
      <c r="L51" s="6"/>
      <c r="M51" s="88"/>
    </row>
    <row r="52" spans="1:13">
      <c r="A52" s="121">
        <v>37</v>
      </c>
      <c r="B52" s="81"/>
      <c r="C52" s="87" t="s">
        <v>91</v>
      </c>
      <c r="D52" s="81"/>
      <c r="E52" s="98"/>
      <c r="F52" s="81"/>
      <c r="G52" s="82"/>
      <c r="H52" s="6"/>
      <c r="I52" s="81"/>
      <c r="J52" s="81"/>
      <c r="K52" s="81"/>
      <c r="L52" s="6"/>
      <c r="M52" s="88"/>
    </row>
    <row r="53" spans="1:13">
      <c r="A53" s="121">
        <v>38</v>
      </c>
      <c r="B53" s="81"/>
      <c r="C53" s="81"/>
      <c r="D53" s="81"/>
      <c r="E53" s="100" t="s">
        <v>70</v>
      </c>
      <c r="F53" s="81"/>
      <c r="G53" s="101">
        <v>0.05</v>
      </c>
      <c r="H53" s="8"/>
      <c r="I53" s="101">
        <v>0.05</v>
      </c>
      <c r="J53" s="81"/>
      <c r="K53" s="101">
        <v>0.05</v>
      </c>
      <c r="L53" s="8"/>
      <c r="M53" s="88"/>
    </row>
    <row r="54" spans="1:13" ht="15" thickBot="1">
      <c r="A54" s="121">
        <v>39</v>
      </c>
      <c r="B54" s="81"/>
      <c r="C54" s="81"/>
      <c r="D54" s="81"/>
      <c r="E54" s="103" t="s">
        <v>108</v>
      </c>
      <c r="F54" s="87"/>
      <c r="G54" s="315">
        <f>SUM(G50*G53)</f>
        <v>757292.79315623327</v>
      </c>
      <c r="H54" s="6"/>
      <c r="I54" s="315">
        <f>SUM(I50*I53)</f>
        <v>980882.29570349446</v>
      </c>
      <c r="J54" s="81"/>
      <c r="K54" s="315">
        <f>SUM(K50*K53)</f>
        <v>1738175.0888597276</v>
      </c>
      <c r="L54" s="6"/>
      <c r="M54" s="88"/>
    </row>
    <row r="55" spans="1:13" ht="15" thickTop="1">
      <c r="A55" s="121">
        <v>40</v>
      </c>
      <c r="B55" s="81"/>
      <c r="C55" s="81"/>
      <c r="D55" s="81"/>
      <c r="E55" s="81"/>
      <c r="F55" s="81"/>
      <c r="G55" s="81"/>
      <c r="H55" s="6"/>
      <c r="I55" s="81"/>
      <c r="J55" s="81"/>
      <c r="K55" s="81"/>
      <c r="L55" s="6"/>
      <c r="M55" s="88"/>
    </row>
    <row r="56" spans="1:13">
      <c r="A56" s="121">
        <v>41</v>
      </c>
      <c r="B56" s="81"/>
      <c r="C56" s="81"/>
      <c r="D56" s="81"/>
      <c r="E56" s="81"/>
      <c r="F56" s="81"/>
      <c r="G56" s="81"/>
      <c r="H56" s="6"/>
      <c r="I56" s="81"/>
      <c r="J56" s="81"/>
      <c r="K56" s="81"/>
      <c r="L56" s="6"/>
      <c r="M56" s="88"/>
    </row>
    <row r="57" spans="1:13">
      <c r="A57" s="121">
        <v>42</v>
      </c>
      <c r="B57" s="81"/>
      <c r="C57" s="87" t="s">
        <v>93</v>
      </c>
      <c r="D57" s="81"/>
      <c r="E57" s="81"/>
      <c r="F57" s="81"/>
      <c r="G57" s="81"/>
      <c r="H57" s="6"/>
      <c r="I57" s="81"/>
      <c r="J57" s="81"/>
      <c r="K57" s="81"/>
      <c r="L57" s="6"/>
      <c r="M57" s="88"/>
    </row>
    <row r="58" spans="1:13">
      <c r="A58" s="121">
        <v>43</v>
      </c>
      <c r="B58" s="81"/>
      <c r="C58" s="81"/>
      <c r="D58" s="81"/>
      <c r="E58" s="81" t="s">
        <v>94</v>
      </c>
      <c r="F58" s="81"/>
      <c r="G58" s="256">
        <f>-SUM(G37:G38,G43:G45,G40)*G53</f>
        <v>-127368.45128832338</v>
      </c>
      <c r="H58" s="6"/>
      <c r="I58" s="256">
        <v>0</v>
      </c>
      <c r="J58" s="256"/>
      <c r="K58" s="256">
        <f>SUM(G58+I58)</f>
        <v>-127368.45128832338</v>
      </c>
      <c r="L58" s="6"/>
      <c r="M58" s="88"/>
    </row>
    <row r="59" spans="1:13">
      <c r="A59" s="121">
        <v>44</v>
      </c>
      <c r="B59" s="81"/>
      <c r="C59" s="81"/>
      <c r="D59" s="81"/>
      <c r="E59" s="81" t="s">
        <v>95</v>
      </c>
      <c r="F59" s="81"/>
      <c r="G59" s="256">
        <f>-SUM(G41:G42)*G53</f>
        <v>20404.900000000001</v>
      </c>
      <c r="H59" s="6"/>
      <c r="I59" s="256">
        <v>0</v>
      </c>
      <c r="J59" s="256"/>
      <c r="K59" s="256">
        <f>SUM(G59+I59)</f>
        <v>20404.900000000001</v>
      </c>
      <c r="L59" s="6"/>
      <c r="M59" s="88"/>
    </row>
    <row r="60" spans="1:13">
      <c r="A60" s="121">
        <v>45</v>
      </c>
      <c r="B60" s="81"/>
      <c r="C60" s="81"/>
      <c r="D60" s="81"/>
      <c r="E60" s="81" t="s">
        <v>96</v>
      </c>
      <c r="F60" s="81"/>
      <c r="G60" s="256">
        <f>-G39*G53</f>
        <v>-2854.2990000000004</v>
      </c>
      <c r="H60" s="6"/>
      <c r="I60" s="256">
        <v>0</v>
      </c>
      <c r="J60" s="256"/>
      <c r="K60" s="256">
        <f>SUM(G60+I60)</f>
        <v>-2854.2990000000004</v>
      </c>
      <c r="L60" s="6"/>
      <c r="M60" s="88"/>
    </row>
    <row r="61" spans="1:13">
      <c r="A61" s="121">
        <v>46</v>
      </c>
      <c r="B61" s="81"/>
      <c r="C61" s="81"/>
      <c r="D61" s="81"/>
      <c r="E61" s="84" t="s">
        <v>97</v>
      </c>
      <c r="F61" s="81"/>
      <c r="G61" s="260">
        <f>-SUM(G46:G47)*G53</f>
        <v>-85247.257373712549</v>
      </c>
      <c r="H61" s="6"/>
      <c r="I61" s="260">
        <v>0</v>
      </c>
      <c r="J61" s="256"/>
      <c r="K61" s="260">
        <f>SUM(G61+I61)</f>
        <v>-85247.257373712549</v>
      </c>
      <c r="L61" s="6"/>
      <c r="M61" s="88"/>
    </row>
    <row r="62" spans="1:13">
      <c r="A62" s="121">
        <v>47</v>
      </c>
      <c r="B62" s="81"/>
      <c r="C62" s="81"/>
      <c r="D62" s="81"/>
      <c r="E62" s="89" t="s">
        <v>83</v>
      </c>
      <c r="F62" s="81"/>
      <c r="G62" s="282">
        <f>SUM(G58:G61)</f>
        <v>-195065.10766203594</v>
      </c>
      <c r="H62" s="6"/>
      <c r="I62" s="282">
        <f>SUM(I58:I61)</f>
        <v>0</v>
      </c>
      <c r="J62" s="81"/>
      <c r="K62" s="282">
        <f>SUM(K58:K61)</f>
        <v>-195065.10766203594</v>
      </c>
      <c r="L62" s="6"/>
      <c r="M62" s="88"/>
    </row>
    <row r="63" spans="1:13">
      <c r="A63" s="121">
        <v>48</v>
      </c>
      <c r="B63" s="81"/>
      <c r="C63" s="81"/>
      <c r="D63" s="81"/>
      <c r="E63" s="81"/>
      <c r="F63" s="81"/>
      <c r="G63" s="85"/>
      <c r="H63" s="6"/>
      <c r="I63" s="81"/>
      <c r="J63" s="81"/>
      <c r="K63" s="81"/>
      <c r="L63" s="6"/>
      <c r="M63" s="88"/>
    </row>
    <row r="64" spans="1:13">
      <c r="A64" s="121">
        <v>49</v>
      </c>
      <c r="B64" s="81"/>
      <c r="C64" s="87"/>
      <c r="D64" s="81"/>
      <c r="E64" s="87" t="s">
        <v>84</v>
      </c>
      <c r="F64" s="81"/>
      <c r="G64" s="85"/>
      <c r="H64" s="6"/>
      <c r="I64" s="81"/>
      <c r="J64" s="81"/>
      <c r="K64" s="81"/>
      <c r="L64" s="6"/>
      <c r="M64" s="88"/>
    </row>
    <row r="65" spans="1:13">
      <c r="A65" s="121">
        <v>50</v>
      </c>
      <c r="B65" s="81"/>
      <c r="C65" s="81"/>
      <c r="D65" s="81"/>
      <c r="E65" s="84" t="s">
        <v>85</v>
      </c>
      <c r="F65" s="81"/>
      <c r="G65" s="260">
        <f>+'Link In'!H258</f>
        <v>-62374.111252666509</v>
      </c>
      <c r="H65" s="6"/>
      <c r="I65" s="260">
        <v>0</v>
      </c>
      <c r="J65" s="256"/>
      <c r="K65" s="260">
        <f>SUM(G65+I65)</f>
        <v>-62374.111252666509</v>
      </c>
      <c r="L65" s="6"/>
      <c r="M65" s="88"/>
    </row>
    <row r="66" spans="1:13" ht="15" thickBot="1">
      <c r="A66" s="121">
        <v>51</v>
      </c>
      <c r="B66" s="88"/>
      <c r="C66" s="88"/>
      <c r="D66" s="88"/>
      <c r="E66" s="107" t="s">
        <v>99</v>
      </c>
      <c r="F66" s="88"/>
      <c r="G66" s="315">
        <f>SUM(G62+G65)</f>
        <v>-257439.21891470245</v>
      </c>
      <c r="H66" s="6"/>
      <c r="I66" s="315">
        <f>SUM(I62+I65)</f>
        <v>0</v>
      </c>
      <c r="J66" s="88"/>
      <c r="K66" s="315">
        <f>SUM(K62+K65)</f>
        <v>-257439.21891470245</v>
      </c>
      <c r="L66" s="6"/>
      <c r="M66" s="88"/>
    </row>
    <row r="67" spans="1:13" ht="15" thickTop="1">
      <c r="A67" s="121">
        <v>52</v>
      </c>
      <c r="B67" s="81"/>
      <c r="C67" s="81"/>
      <c r="D67" s="81"/>
      <c r="E67" s="81"/>
      <c r="F67" s="81"/>
      <c r="G67" s="81"/>
      <c r="H67" s="6"/>
      <c r="I67" s="81"/>
      <c r="J67" s="81"/>
      <c r="K67" s="81"/>
      <c r="L67" s="6"/>
      <c r="M67" s="88"/>
    </row>
    <row r="68" spans="1:13">
      <c r="A68" s="121">
        <v>53</v>
      </c>
      <c r="B68" s="81"/>
      <c r="C68" s="81"/>
      <c r="D68" s="81"/>
      <c r="E68" s="81"/>
      <c r="F68" s="81"/>
      <c r="G68" s="81"/>
      <c r="H68" s="6"/>
      <c r="I68" s="81"/>
      <c r="J68" s="81"/>
      <c r="K68" s="81"/>
      <c r="L68" s="6"/>
      <c r="M68" s="88"/>
    </row>
    <row r="69" spans="1:13" ht="15" thickBot="1">
      <c r="A69" s="121">
        <v>54</v>
      </c>
      <c r="B69" s="81"/>
      <c r="C69" s="81"/>
      <c r="D69" s="81"/>
      <c r="E69" s="91" t="s">
        <v>110</v>
      </c>
      <c r="F69" s="87"/>
      <c r="G69" s="315">
        <f>SUM(G54+G66)</f>
        <v>499853.57424153085</v>
      </c>
      <c r="H69" s="6"/>
      <c r="I69" s="315">
        <f>SUM(I54+I66)</f>
        <v>980882.29570349446</v>
      </c>
      <c r="J69" s="227"/>
      <c r="K69" s="315">
        <f>SUM(K54+K66)</f>
        <v>1480735.8699450251</v>
      </c>
      <c r="L69" s="6"/>
      <c r="M69" s="88"/>
    </row>
    <row r="70" spans="1:13" ht="15" thickTop="1">
      <c r="A70" s="121">
        <v>55</v>
      </c>
      <c r="B70" s="81"/>
      <c r="C70" s="81"/>
      <c r="D70" s="81"/>
      <c r="E70" s="81"/>
      <c r="F70" s="81"/>
      <c r="G70" s="81"/>
      <c r="H70" s="6"/>
      <c r="I70" s="81"/>
      <c r="J70" s="81"/>
      <c r="K70" s="81"/>
      <c r="L70" s="6"/>
      <c r="M70" s="88"/>
    </row>
    <row r="71" spans="1:13">
      <c r="A71" s="81"/>
      <c r="B71" s="81"/>
      <c r="C71" s="81"/>
      <c r="D71" s="81"/>
      <c r="E71" s="81"/>
      <c r="F71" s="81"/>
      <c r="G71" s="81"/>
      <c r="H71" s="287"/>
      <c r="I71" s="388" t="s">
        <v>279</v>
      </c>
      <c r="J71" s="389"/>
      <c r="K71" s="390">
        <f>+(K26+K32+K33+K28)*0.05+K65</f>
        <v>1480735.8699450253</v>
      </c>
      <c r="L71" s="6"/>
      <c r="M71" s="88"/>
    </row>
    <row r="72" spans="1:13">
      <c r="A72" s="81"/>
      <c r="B72" s="81"/>
      <c r="C72" s="81"/>
      <c r="D72" s="81"/>
      <c r="E72" s="81"/>
      <c r="F72" s="81"/>
      <c r="G72" s="396"/>
      <c r="H72" s="6"/>
      <c r="I72" s="392"/>
      <c r="J72" s="389"/>
      <c r="K72" s="390">
        <f>K69-K71</f>
        <v>0</v>
      </c>
      <c r="L72" s="6"/>
      <c r="M72" s="88"/>
    </row>
    <row r="73" spans="1:13">
      <c r="A73" s="81"/>
      <c r="B73" s="81"/>
      <c r="C73" s="81"/>
      <c r="D73" s="81"/>
      <c r="E73" s="81"/>
      <c r="F73" s="81"/>
      <c r="G73" s="95"/>
      <c r="H73" s="6"/>
      <c r="I73" s="81"/>
      <c r="J73" s="81"/>
      <c r="K73" s="81"/>
      <c r="L73" s="6"/>
      <c r="M73" s="88"/>
    </row>
    <row r="74" spans="1:13">
      <c r="A74" s="81"/>
      <c r="B74" s="81"/>
      <c r="C74" s="81"/>
      <c r="D74" s="81"/>
      <c r="E74" s="81"/>
      <c r="F74" s="81"/>
      <c r="G74" s="81"/>
      <c r="H74" s="116"/>
      <c r="I74" s="81"/>
      <c r="J74" s="81"/>
      <c r="K74" s="81"/>
      <c r="L74" s="116"/>
      <c r="M74" s="88"/>
    </row>
    <row r="75" spans="1:13">
      <c r="A75" s="81"/>
      <c r="B75" s="81"/>
      <c r="C75" s="81"/>
      <c r="D75" s="81"/>
      <c r="E75" s="81"/>
      <c r="F75" s="81"/>
      <c r="G75" s="81"/>
      <c r="H75" s="116"/>
      <c r="I75" s="81"/>
      <c r="J75" s="81"/>
      <c r="K75" s="81"/>
      <c r="L75" s="116"/>
      <c r="M75" s="88"/>
    </row>
    <row r="76" spans="1:13">
      <c r="A76" s="81"/>
      <c r="B76" s="81"/>
      <c r="C76" s="81"/>
      <c r="D76" s="81"/>
      <c r="E76" s="81"/>
      <c r="F76" s="81"/>
      <c r="G76" s="81"/>
      <c r="H76" s="81"/>
      <c r="I76" s="81"/>
      <c r="J76" s="81"/>
      <c r="K76" s="81"/>
      <c r="L76" s="88"/>
      <c r="M76" s="88"/>
    </row>
    <row r="77" spans="1:13">
      <c r="A77" s="81"/>
      <c r="B77" s="81"/>
      <c r="C77" s="81"/>
      <c r="D77" s="81"/>
      <c r="E77" s="81"/>
      <c r="F77" s="81"/>
      <c r="G77" s="81"/>
      <c r="H77" s="81"/>
      <c r="I77" s="81"/>
      <c r="J77" s="81"/>
      <c r="K77" s="81"/>
      <c r="L77" s="88"/>
      <c r="M77" s="88"/>
    </row>
    <row r="78" spans="1:13">
      <c r="A78" s="81"/>
      <c r="B78" s="81"/>
      <c r="C78" s="81"/>
      <c r="D78" s="81"/>
      <c r="E78" s="81"/>
      <c r="F78" s="81"/>
      <c r="G78" s="81"/>
      <c r="H78" s="81"/>
      <c r="I78" s="81"/>
      <c r="J78" s="81"/>
      <c r="K78" s="81"/>
      <c r="L78" s="88"/>
      <c r="M78" s="88"/>
    </row>
    <row r="79" spans="1:13">
      <c r="A79" s="81"/>
      <c r="B79" s="81"/>
      <c r="C79" s="81"/>
      <c r="D79" s="81"/>
      <c r="E79" s="81"/>
      <c r="F79" s="81"/>
      <c r="G79" s="81"/>
      <c r="H79" s="81"/>
      <c r="I79" s="81"/>
      <c r="J79" s="81"/>
      <c r="K79" s="81"/>
      <c r="L79" s="88"/>
      <c r="M79" s="88"/>
    </row>
    <row r="80" spans="1:13">
      <c r="L80" s="88"/>
      <c r="M80" s="88"/>
    </row>
    <row r="81" spans="12:13">
      <c r="L81" s="88"/>
      <c r="M81" s="88"/>
    </row>
    <row r="82" spans="12:13">
      <c r="L82" s="88"/>
      <c r="M82" s="88"/>
    </row>
  </sheetData>
  <mergeCells count="4">
    <mergeCell ref="A5:K5"/>
    <mergeCell ref="A6:K6"/>
    <mergeCell ref="A7:K7"/>
    <mergeCell ref="A4:K4"/>
  </mergeCells>
  <pageMargins left="0.7" right="0.7" top="0.75" bottom="0.75" header="0.3" footer="0.3"/>
  <pageSetup scale="53" orientation="portrait" verticalDpi="1200"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Link In</vt:lpstr>
      <vt:lpstr>Link Out</vt:lpstr>
      <vt:lpstr>Exhibit</vt:lpstr>
      <vt:lpstr>Summary by Account</vt:lpstr>
      <vt:lpstr>Notes</vt:lpstr>
      <vt:lpstr>E-1.1 Federal Inc Tax Base</vt:lpstr>
      <vt:lpstr>E-1.2 State Inc Tax Base</vt:lpstr>
      <vt:lpstr>E-1.3 Federal Inc Tax Forecast</vt:lpstr>
      <vt:lpstr>E-1.4 State Inc Tax Forecast</vt:lpstr>
      <vt:lpstr>E-1.5 Summary of Income Tax Adj</vt:lpstr>
      <vt:lpstr>E-2 Jurisdictional Income Taxes</vt:lpstr>
      <vt:lpstr>'E-1.1 Federal Inc Tax Base'!Print_Area</vt:lpstr>
      <vt:lpstr>'E-1.2 State Inc Tax Base'!Print_Area</vt:lpstr>
      <vt:lpstr>'E-1.3 Federal Inc Tax Forecast'!Print_Area</vt:lpstr>
      <vt:lpstr>'E-1.4 State Inc Tax Forecast'!Print_Area</vt:lpstr>
      <vt:lpstr>'E-1.5 Summary of Income Tax Adj'!Print_Area</vt:lpstr>
      <vt:lpstr>'E-2 Jurisdictional Income Taxes'!Print_Area</vt:lpstr>
      <vt:lpstr>Exhibit!Print_Area</vt:lpstr>
      <vt:lpstr>'Link In'!Print_Area</vt:lpstr>
      <vt:lpstr>'Link Out'!Print_Area</vt:lpstr>
      <vt:lpstr>'Summary by Account'!Print_Area</vt:lpstr>
    </vt:vector>
  </TitlesOfParts>
  <Company>American Water Works Company,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weckbat</dc:creator>
  <cp:lastModifiedBy>Lori N O'Malley</cp:lastModifiedBy>
  <cp:lastPrinted>2018-12-03T18:25:13Z</cp:lastPrinted>
  <dcterms:created xsi:type="dcterms:W3CDTF">2012-08-27T14:54:09Z</dcterms:created>
  <dcterms:modified xsi:type="dcterms:W3CDTF">2019-01-22T14:13:50Z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