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R:\CH-PROJ\KYAWC\064509-COS\5-ProjWrkng\C-Discovery\Files to Others\"/>
    </mc:Choice>
  </mc:AlternateContent>
  <xr:revisionPtr revIDLastSave="0" documentId="10_ncr:100000_{A6412EBD-784A-47FF-8607-756F506EE503}" xr6:coauthVersionLast="31" xr6:coauthVersionMax="31" xr10:uidLastSave="{00000000-0000-0000-0000-000000000000}"/>
  <bookViews>
    <workbookView xWindow="0" yWindow="0" windowWidth="28800" windowHeight="11325" xr2:uid="{DC52B7E1-AD78-4BD6-B8D9-13FA4B419486}"/>
  </bookViews>
  <sheets>
    <sheet name="SCH-A" sheetId="27" r:id="rId1"/>
    <sheet name="Sch B COS" sheetId="19" r:id="rId2"/>
    <sheet name="F 1-2" sheetId="1" r:id="rId3"/>
    <sheet name="F 2 B" sheetId="2" r:id="rId4"/>
    <sheet name="F 3-4" sheetId="4" r:id="rId5"/>
    <sheet name="F 3B 4B" sheetId="5" r:id="rId6"/>
    <sheet name="F 5" sheetId="6" r:id="rId7"/>
    <sheet name="F 5B" sheetId="7" r:id="rId8"/>
    <sheet name="F6-7" sheetId="8" r:id="rId9"/>
    <sheet name="F8-10" sheetId="9" r:id="rId10"/>
    <sheet name="Meters &amp; Services" sheetId="31" r:id="rId11"/>
    <sheet name="F11-12" sheetId="11" r:id="rId12"/>
    <sheet name="F13-14" sheetId="10" r:id="rId13"/>
    <sheet name="F 15-20" sheetId="12" r:id="rId14"/>
    <sheet name="SCH-D" sheetId="28" r:id="rId15"/>
    <sheet name="Sch E Fire" sheetId="16" r:id="rId16"/>
    <sheet name="Sch F Service Charges" sheetId="35" r:id="rId17"/>
    <sheet name="Sch G Rates" sheetId="34" r:id="rId18"/>
  </sheets>
  <definedNames>
    <definedName name="fact">#REF!</definedName>
    <definedName name="FACT3" localSheetId="4">'F 3-4'!$A$1:$FL$1349</definedName>
    <definedName name="FACT3A" localSheetId="2">'F 1-2'!$AB$13:$BG$258</definedName>
    <definedName name="FACT3A" localSheetId="3">'F 2 B'!$W$11:$BB$261</definedName>
    <definedName name="FACT3A" localSheetId="4">'F 3-4'!$W$12:$BB$259</definedName>
    <definedName name="factor">'Sch B COS'!$AA$372:$AO$377</definedName>
    <definedName name="Factors">'Sch B COS'!$K$378:$Z$413</definedName>
    <definedName name="FIRE" localSheetId="2">'F 1-2'!$AE$71:$EW$905</definedName>
    <definedName name="FIRE" localSheetId="3">'F 2 B'!$Z$74:$ER$908</definedName>
    <definedName name="FIRE" localSheetId="4">'F 3-4'!$Z$74:$ER$906</definedName>
    <definedName name="func">'Sch B COS'!$AH$382:$AY$402</definedName>
    <definedName name="_xlnm.Print_Area" localSheetId="2">'F 1-2'!$B$1:$M$49</definedName>
    <definedName name="_xlnm.Print_Area" localSheetId="13">'F 15-20'!$A$1:$F$151</definedName>
    <definedName name="_xlnm.Print_Area" localSheetId="3">'F 2 B'!$A$1:$J$37</definedName>
    <definedName name="_xlnm.Print_Area" localSheetId="4">'F 3-4'!$A$1:$R$56</definedName>
    <definedName name="_xlnm.Print_Area" localSheetId="5">'F 3B 4B'!$A$1:$K$68</definedName>
    <definedName name="_xlnm.Print_Area" localSheetId="6">'F 5'!$A$1:$R$27</definedName>
    <definedName name="_xlnm.Print_Area" localSheetId="7">'F 5B'!$A$1:$J$44</definedName>
    <definedName name="_xlnm.Print_Area" localSheetId="8">'F6-7'!$A$1:$P$77</definedName>
    <definedName name="_xlnm.Print_Area" localSheetId="9">'F8-10'!$A$1:$F$57</definedName>
    <definedName name="_xlnm.Print_Area" localSheetId="10">'Meters &amp; Services'!$B$1:$AF$57</definedName>
    <definedName name="_xlnm.Print_Area" localSheetId="1">'Sch B COS'!$D$10:$X$350</definedName>
    <definedName name="_xlnm.Print_Area" localSheetId="15">'Sch E Fire'!$C$1:$O$39</definedName>
    <definedName name="_xlnm.Print_Area" localSheetId="16">'Sch F Service Charges'!$A$1:$L$26</definedName>
    <definedName name="_xlnm.Print_Area" localSheetId="17">'Sch G Rates'!$C$7:$J$119</definedName>
    <definedName name="_xlnm.Print_Area" localSheetId="0">'SCH-A'!$B$6:$R$38</definedName>
    <definedName name="_xlnm.Print_Area" localSheetId="14">'SCH-D'!$A$1:$P$44</definedName>
    <definedName name="_xlnm.Print_Titles" localSheetId="1">'Sch B COS'!$1:$9</definedName>
    <definedName name="_xlnm.Print_Titles" localSheetId="17">'Sch G Rates'!$7:$10</definedName>
  </definedNames>
  <calcPr calcId="179017" iterate="1"/>
</workbook>
</file>

<file path=xl/calcChain.xml><?xml version="1.0" encoding="utf-8"?>
<calcChain xmlns="http://schemas.openxmlformats.org/spreadsheetml/2006/main">
  <c r="V27" i="27" l="1"/>
  <c r="AC47" i="4" l="1"/>
  <c r="F111" i="34" l="1"/>
  <c r="F73" i="34"/>
  <c r="Y26" i="27" l="1"/>
  <c r="AE302" i="19" l="1"/>
  <c r="BA190" i="19"/>
  <c r="AE213" i="19"/>
  <c r="AE214" i="19"/>
  <c r="AE210" i="19"/>
  <c r="AE211" i="19"/>
  <c r="AE212" i="19"/>
  <c r="AE192" i="19" l="1"/>
  <c r="AY324" i="19" l="1"/>
  <c r="BA325" i="19"/>
  <c r="BA326" i="19"/>
  <c r="BA300" i="19"/>
  <c r="AG340" i="19"/>
  <c r="AE340" i="19"/>
  <c r="AE129" i="19"/>
  <c r="AG229" i="19" l="1"/>
  <c r="AE229" i="19"/>
  <c r="Z300" i="19" l="1"/>
  <c r="Z325" i="19"/>
  <c r="Z326" i="19"/>
  <c r="Z328" i="19"/>
  <c r="Z329" i="19"/>
  <c r="Z346" i="19"/>
  <c r="Z348" i="19"/>
  <c r="Z53" i="19"/>
  <c r="Z55" i="19"/>
  <c r="Z56" i="19"/>
  <c r="Z62" i="19"/>
  <c r="Z64" i="19"/>
  <c r="Z66" i="19"/>
  <c r="Z67" i="19"/>
  <c r="Z68" i="19"/>
  <c r="Z85" i="19"/>
  <c r="Z87" i="19"/>
  <c r="Z88" i="19"/>
  <c r="Z89" i="19"/>
  <c r="Z101" i="19"/>
  <c r="Z103" i="19"/>
  <c r="Z105" i="19"/>
  <c r="Z106" i="19"/>
  <c r="Z121" i="19"/>
  <c r="Z123" i="19"/>
  <c r="Z124" i="19"/>
  <c r="Z125" i="19"/>
  <c r="Z126" i="19"/>
  <c r="Z128" i="19"/>
  <c r="Z131" i="19"/>
  <c r="Z160" i="19"/>
  <c r="Z162" i="19"/>
  <c r="Z163" i="19"/>
  <c r="Z164" i="19"/>
  <c r="Z166" i="19"/>
  <c r="Z167" i="19"/>
  <c r="Z168" i="19"/>
  <c r="Z190" i="19"/>
  <c r="Z230" i="19"/>
  <c r="Z232" i="19"/>
  <c r="Z233" i="19"/>
  <c r="Z237" i="19"/>
  <c r="Z239" i="19"/>
  <c r="Z240" i="19"/>
  <c r="Z246" i="19"/>
  <c r="Z247" i="19"/>
  <c r="Z249" i="19"/>
  <c r="Z251" i="19"/>
  <c r="Z252" i="19"/>
  <c r="Z254" i="19"/>
  <c r="Z256" i="19"/>
  <c r="Z266" i="19"/>
  <c r="Z268" i="19"/>
  <c r="Z269" i="19"/>
  <c r="Z271" i="19"/>
  <c r="Z273" i="19"/>
  <c r="Z22" i="19"/>
  <c r="Z24" i="19"/>
  <c r="Z25" i="19"/>
  <c r="Z28" i="19"/>
  <c r="Z30" i="19"/>
  <c r="Z31" i="19"/>
  <c r="Z32" i="19"/>
  <c r="Z33" i="19"/>
  <c r="AE334" i="19" l="1"/>
  <c r="AG334" i="19"/>
  <c r="AO334" i="19" l="1"/>
  <c r="AQ334" i="19"/>
  <c r="AU334" i="19"/>
  <c r="AK334" i="19"/>
  <c r="AS334" i="19"/>
  <c r="AE324" i="19"/>
  <c r="F351" i="19" l="1"/>
  <c r="AG324" i="19" l="1"/>
  <c r="AG175" i="19" l="1"/>
  <c r="AG213" i="19"/>
  <c r="AO213" i="19" l="1"/>
  <c r="AK213" i="19"/>
  <c r="AQ213" i="19"/>
  <c r="AU213" i="19"/>
  <c r="AM213" i="19"/>
  <c r="AI213" i="19"/>
  <c r="AE20" i="19" l="1"/>
  <c r="AE18" i="19"/>
  <c r="AE52" i="19" l="1"/>
  <c r="AG18" i="19" l="1"/>
  <c r="AG19" i="19"/>
  <c r="AG52" i="19"/>
  <c r="AO52" i="19" s="1"/>
  <c r="AG17" i="19"/>
  <c r="AG16" i="19"/>
  <c r="AS18" i="19" l="1"/>
  <c r="AQ18" i="19"/>
  <c r="AO18" i="19"/>
  <c r="AM18" i="19"/>
  <c r="AU18" i="19"/>
  <c r="AS52" i="19"/>
  <c r="AU52" i="19"/>
  <c r="AQ52" i="19"/>
  <c r="AM52" i="19"/>
  <c r="AG20" i="19"/>
  <c r="AG129" i="19"/>
  <c r="AG27" i="19"/>
  <c r="AM16" i="19"/>
  <c r="AS16" i="19"/>
  <c r="AK16" i="19"/>
  <c r="AQ16" i="19"/>
  <c r="AU16" i="19"/>
  <c r="AO16" i="19"/>
  <c r="AU20" i="19" l="1"/>
  <c r="AQ20" i="19"/>
  <c r="AS20" i="19"/>
  <c r="AO20" i="19"/>
  <c r="AM20" i="19"/>
  <c r="AK27" i="19"/>
  <c r="AS27" i="19"/>
  <c r="AM27" i="19"/>
  <c r="AU27" i="19"/>
  <c r="AO27" i="19"/>
  <c r="AQ27" i="19"/>
  <c r="F12" i="28" l="1"/>
  <c r="F10" i="28" l="1"/>
  <c r="L10" i="28" s="1"/>
  <c r="L12" i="28"/>
  <c r="AG257" i="19"/>
  <c r="AG253" i="19"/>
  <c r="AG250" i="19"/>
  <c r="AG37" i="19"/>
  <c r="J29" i="19"/>
  <c r="AG15" i="19"/>
  <c r="AG36" i="19"/>
  <c r="AG71" i="19"/>
  <c r="D151" i="12"/>
  <c r="AG279" i="19"/>
  <c r="AG280" i="19"/>
  <c r="AG281" i="19"/>
  <c r="AG282" i="19"/>
  <c r="AG283" i="19"/>
  <c r="AG284" i="19"/>
  <c r="AG285" i="19"/>
  <c r="AG286" i="19"/>
  <c r="AG287" i="19"/>
  <c r="AG288" i="19"/>
  <c r="AG290" i="19"/>
  <c r="AG291" i="19"/>
  <c r="AG292" i="19"/>
  <c r="AG293" i="19"/>
  <c r="AG295" i="19"/>
  <c r="H76" i="8"/>
  <c r="AG296" i="19"/>
  <c r="AG297" i="19"/>
  <c r="AG298" i="19"/>
  <c r="AG14" i="19"/>
  <c r="AG21" i="19"/>
  <c r="AG35" i="19"/>
  <c r="AG38" i="19"/>
  <c r="AG39" i="19"/>
  <c r="AG40" i="19"/>
  <c r="AG41" i="19"/>
  <c r="AG42" i="19"/>
  <c r="AG44" i="19"/>
  <c r="AG45" i="19"/>
  <c r="AG46" i="19"/>
  <c r="AG47" i="19"/>
  <c r="AG48" i="19"/>
  <c r="AG49" i="19"/>
  <c r="AG50" i="19"/>
  <c r="AG51" i="19"/>
  <c r="AG58" i="19"/>
  <c r="AG59" i="19"/>
  <c r="AG60" i="19"/>
  <c r="AG61" i="19"/>
  <c r="X94" i="19"/>
  <c r="X95" i="19"/>
  <c r="R96" i="19"/>
  <c r="AG100" i="19"/>
  <c r="AG91" i="19"/>
  <c r="AG97" i="19"/>
  <c r="AG98" i="19"/>
  <c r="AG99" i="19"/>
  <c r="AG69" i="19"/>
  <c r="AG70" i="19"/>
  <c r="AG76" i="19"/>
  <c r="AG77" i="19"/>
  <c r="AG78" i="19"/>
  <c r="AG79" i="19"/>
  <c r="AG80" i="19"/>
  <c r="AG82" i="19"/>
  <c r="AG83" i="19"/>
  <c r="AG84" i="19"/>
  <c r="AG108" i="19"/>
  <c r="AG109" i="19"/>
  <c r="AG112" i="19"/>
  <c r="AG113" i="19"/>
  <c r="AG115" i="19"/>
  <c r="AG116" i="19"/>
  <c r="AG117" i="19"/>
  <c r="AG118" i="19"/>
  <c r="AG120" i="19"/>
  <c r="AG317" i="19"/>
  <c r="AG318" i="19"/>
  <c r="AG319" i="19"/>
  <c r="AG320" i="19"/>
  <c r="AG322" i="19"/>
  <c r="AG323" i="19"/>
  <c r="AG341" i="19"/>
  <c r="AG342" i="19"/>
  <c r="AG344" i="19"/>
  <c r="AG345" i="19"/>
  <c r="AG332" i="19"/>
  <c r="AG335" i="19"/>
  <c r="X336" i="19"/>
  <c r="T338" i="19"/>
  <c r="AG339" i="19"/>
  <c r="AG331" i="19"/>
  <c r="AG242" i="19"/>
  <c r="AG243" i="19"/>
  <c r="AG310" i="19"/>
  <c r="AG201" i="19"/>
  <c r="AG184" i="19"/>
  <c r="AG187" i="19"/>
  <c r="AG203" i="19"/>
  <c r="AG172" i="19"/>
  <c r="AG178" i="19"/>
  <c r="AG180" i="19"/>
  <c r="AG174" i="19"/>
  <c r="AG169" i="19"/>
  <c r="AG205" i="19"/>
  <c r="AG206" i="19"/>
  <c r="AG207" i="19"/>
  <c r="AG208" i="19"/>
  <c r="AG209" i="19"/>
  <c r="AG215" i="19"/>
  <c r="AG217" i="19"/>
  <c r="AG219" i="19"/>
  <c r="AG221" i="19"/>
  <c r="AG222" i="19"/>
  <c r="AG223" i="19"/>
  <c r="AG224" i="19"/>
  <c r="AG225" i="19"/>
  <c r="AG227" i="19"/>
  <c r="AG171" i="19"/>
  <c r="AG173" i="19"/>
  <c r="AG176" i="19"/>
  <c r="AG177" i="19"/>
  <c r="AG179" i="19"/>
  <c r="AG181" i="19"/>
  <c r="AG182" i="19"/>
  <c r="AG186" i="19"/>
  <c r="AO186" i="19" s="1"/>
  <c r="AG188" i="19"/>
  <c r="AG202" i="19"/>
  <c r="AG204" i="19"/>
  <c r="AG218" i="19"/>
  <c r="AG220" i="19"/>
  <c r="AG183" i="19"/>
  <c r="AG216" i="19"/>
  <c r="AG170" i="19"/>
  <c r="AG130" i="19"/>
  <c r="AG137" i="19"/>
  <c r="AG138" i="19"/>
  <c r="AG140" i="19"/>
  <c r="AG141" i="19"/>
  <c r="AG142" i="19"/>
  <c r="AG143" i="19"/>
  <c r="AG144" i="19"/>
  <c r="AG145" i="19"/>
  <c r="AG146" i="19"/>
  <c r="AG147" i="19"/>
  <c r="AG148" i="19"/>
  <c r="AG149" i="19"/>
  <c r="AG150" i="19"/>
  <c r="AG153" i="19"/>
  <c r="AG154" i="19"/>
  <c r="AG156" i="19"/>
  <c r="AG157" i="19"/>
  <c r="AG158" i="19"/>
  <c r="AG159" i="19"/>
  <c r="AG57" i="19"/>
  <c r="X111" i="19"/>
  <c r="AE142" i="19"/>
  <c r="AE143" i="19"/>
  <c r="F36" i="7"/>
  <c r="F37" i="7"/>
  <c r="F145" i="12"/>
  <c r="N402" i="19" s="1"/>
  <c r="F146" i="12"/>
  <c r="P402" i="19" s="1"/>
  <c r="F147" i="12"/>
  <c r="R402" i="19" s="1"/>
  <c r="F148" i="12"/>
  <c r="T402" i="19" s="1"/>
  <c r="AE153" i="19"/>
  <c r="AE57" i="19"/>
  <c r="AE58" i="19"/>
  <c r="AE72" i="19"/>
  <c r="AE73" i="19"/>
  <c r="AE74" i="19"/>
  <c r="AG92" i="19"/>
  <c r="AE92" i="19"/>
  <c r="AE93" i="19"/>
  <c r="AG94" i="19"/>
  <c r="AE94" i="19"/>
  <c r="AE95" i="19"/>
  <c r="AE96" i="19"/>
  <c r="AE100" i="19"/>
  <c r="AE90" i="19"/>
  <c r="AE107" i="19"/>
  <c r="AE109" i="19"/>
  <c r="AE14" i="19"/>
  <c r="AE15" i="19"/>
  <c r="AE17" i="19"/>
  <c r="AE19" i="19"/>
  <c r="AE21" i="19"/>
  <c r="AE26" i="19"/>
  <c r="AE59" i="19"/>
  <c r="AE60" i="19"/>
  <c r="AE61" i="19"/>
  <c r="AE36" i="19"/>
  <c r="AE37" i="19"/>
  <c r="AE38" i="19"/>
  <c r="AE39" i="19"/>
  <c r="AE40" i="19"/>
  <c r="AE41" i="19"/>
  <c r="AE42" i="19"/>
  <c r="AG43" i="19"/>
  <c r="AE43" i="19"/>
  <c r="AE44" i="19"/>
  <c r="AE45" i="19"/>
  <c r="AE46" i="19"/>
  <c r="AE47" i="19"/>
  <c r="AE48" i="19"/>
  <c r="AE49" i="19"/>
  <c r="AE50" i="19"/>
  <c r="AE51" i="19"/>
  <c r="AE91" i="19"/>
  <c r="AE97" i="19"/>
  <c r="AE98" i="19"/>
  <c r="AE99" i="19"/>
  <c r="AE71" i="19"/>
  <c r="AG75" i="19"/>
  <c r="AE75" i="19"/>
  <c r="AE76" i="19"/>
  <c r="AE77" i="19"/>
  <c r="AE78" i="19"/>
  <c r="AE79" i="19"/>
  <c r="AE80" i="19"/>
  <c r="AG81" i="19"/>
  <c r="AE81" i="19"/>
  <c r="AE82" i="19"/>
  <c r="AE83" i="19"/>
  <c r="AE84" i="19"/>
  <c r="AE108" i="19"/>
  <c r="AE110" i="19"/>
  <c r="AE111" i="19"/>
  <c r="AE112" i="19"/>
  <c r="AE113" i="19"/>
  <c r="AE114" i="19"/>
  <c r="AE115" i="19"/>
  <c r="AE116" i="19"/>
  <c r="AE117" i="19"/>
  <c r="AE118" i="19"/>
  <c r="AG119" i="19"/>
  <c r="AE119" i="19"/>
  <c r="AE120" i="19"/>
  <c r="S57" i="8"/>
  <c r="AE264" i="19"/>
  <c r="F16" i="28"/>
  <c r="P16" i="28" s="1"/>
  <c r="F18" i="28"/>
  <c r="F20" i="28"/>
  <c r="F14" i="28"/>
  <c r="L14" i="28" s="1"/>
  <c r="AE315" i="19"/>
  <c r="AE196" i="19"/>
  <c r="AE195" i="19"/>
  <c r="AE194" i="19"/>
  <c r="AE258" i="19"/>
  <c r="AE259" i="19"/>
  <c r="AE260" i="19"/>
  <c r="AE261" i="19"/>
  <c r="AE150" i="19"/>
  <c r="AE243" i="19"/>
  <c r="AE263" i="19"/>
  <c r="AE193" i="19"/>
  <c r="AE197" i="19"/>
  <c r="AE198" i="19"/>
  <c r="AE199" i="19"/>
  <c r="AE200" i="19"/>
  <c r="AE201" i="19"/>
  <c r="AE202" i="19"/>
  <c r="AE203" i="19"/>
  <c r="AE204" i="19"/>
  <c r="AE205" i="19"/>
  <c r="AE206" i="19"/>
  <c r="AE207" i="19"/>
  <c r="AE208" i="19"/>
  <c r="AE209" i="19"/>
  <c r="AE215" i="19"/>
  <c r="AE216" i="19"/>
  <c r="AE217" i="19"/>
  <c r="AE218" i="19"/>
  <c r="AE219" i="19"/>
  <c r="AE220" i="19"/>
  <c r="AE221" i="19"/>
  <c r="AE222" i="19"/>
  <c r="AE223" i="19"/>
  <c r="AE224" i="19"/>
  <c r="AE225" i="19"/>
  <c r="AE226" i="19"/>
  <c r="AE227" i="19"/>
  <c r="AE275" i="19"/>
  <c r="AE276" i="19"/>
  <c r="AE277" i="19"/>
  <c r="AE278" i="19"/>
  <c r="AE279" i="19"/>
  <c r="AE280" i="19"/>
  <c r="AE281" i="19"/>
  <c r="AE282" i="19"/>
  <c r="AE283" i="19"/>
  <c r="AE284" i="19"/>
  <c r="AE285" i="19"/>
  <c r="AE286" i="19"/>
  <c r="AE287" i="19"/>
  <c r="AE288" i="19"/>
  <c r="AE289" i="19"/>
  <c r="AE290" i="19"/>
  <c r="AE291" i="19"/>
  <c r="AE292" i="19"/>
  <c r="AE293" i="19"/>
  <c r="AE294" i="19"/>
  <c r="AE295" i="19"/>
  <c r="AE296" i="19"/>
  <c r="AE297" i="19"/>
  <c r="AE298" i="19"/>
  <c r="AE299" i="19"/>
  <c r="AE301" i="19"/>
  <c r="AE303" i="19"/>
  <c r="AE304" i="19"/>
  <c r="AE305" i="19"/>
  <c r="AE306" i="19"/>
  <c r="AE307" i="19"/>
  <c r="AE308" i="19"/>
  <c r="AE309" i="19"/>
  <c r="AE310" i="19"/>
  <c r="AE311" i="19"/>
  <c r="AE312" i="19"/>
  <c r="AE313" i="19"/>
  <c r="AE314" i="19"/>
  <c r="AE316" i="19"/>
  <c r="AE317" i="19"/>
  <c r="AE318" i="19"/>
  <c r="AE319" i="19"/>
  <c r="AE320" i="19"/>
  <c r="AE321" i="19"/>
  <c r="AG343" i="19"/>
  <c r="AE335" i="19"/>
  <c r="AG276" i="19"/>
  <c r="AG274" i="19"/>
  <c r="AG336" i="19"/>
  <c r="AG289" i="19"/>
  <c r="AQ289" i="19" s="1"/>
  <c r="AE188" i="19"/>
  <c r="AE174" i="19"/>
  <c r="AE182" i="19"/>
  <c r="BA266" i="19"/>
  <c r="BA268" i="19"/>
  <c r="BA269" i="19"/>
  <c r="BA22" i="19"/>
  <c r="BA24" i="19"/>
  <c r="BA25" i="19"/>
  <c r="BA28" i="19"/>
  <c r="BA30" i="19"/>
  <c r="BA31" i="19"/>
  <c r="BA32" i="19"/>
  <c r="BA33" i="19"/>
  <c r="BA53" i="19"/>
  <c r="BA55" i="19"/>
  <c r="BA56" i="19"/>
  <c r="BA62" i="19"/>
  <c r="BA64" i="19"/>
  <c r="BA66" i="19"/>
  <c r="BA67" i="19"/>
  <c r="BA68" i="19"/>
  <c r="BA85" i="19"/>
  <c r="BA87" i="19"/>
  <c r="BA88" i="19"/>
  <c r="BA89" i="19"/>
  <c r="BA101" i="19"/>
  <c r="BA103" i="19"/>
  <c r="BA105" i="19"/>
  <c r="BA106" i="19"/>
  <c r="BA121" i="19"/>
  <c r="BA123" i="19"/>
  <c r="BA124" i="19"/>
  <c r="BA125" i="19"/>
  <c r="BA126" i="19"/>
  <c r="BA131" i="19"/>
  <c r="BA160" i="19"/>
  <c r="BA162" i="19"/>
  <c r="BA163" i="19"/>
  <c r="BA164" i="19"/>
  <c r="BA166" i="19"/>
  <c r="BA167" i="19"/>
  <c r="BA168" i="19"/>
  <c r="BA230" i="19"/>
  <c r="BA232" i="19"/>
  <c r="BA233" i="19"/>
  <c r="BA237" i="19"/>
  <c r="BA239" i="19"/>
  <c r="BA240" i="19"/>
  <c r="BA246" i="19"/>
  <c r="BA247" i="19"/>
  <c r="BA249" i="19"/>
  <c r="BA251" i="19"/>
  <c r="BA252" i="19"/>
  <c r="BA254" i="19"/>
  <c r="AE70" i="19"/>
  <c r="AE242" i="19"/>
  <c r="AE244" i="19"/>
  <c r="AE245" i="19"/>
  <c r="AE235" i="19"/>
  <c r="AE159" i="19"/>
  <c r="AE158" i="19"/>
  <c r="AE157" i="19"/>
  <c r="AE156" i="19"/>
  <c r="AE155" i="19"/>
  <c r="AE154" i="19"/>
  <c r="AE152" i="19"/>
  <c r="AE151" i="19"/>
  <c r="AE149" i="19"/>
  <c r="AE148" i="19"/>
  <c r="AE147" i="19"/>
  <c r="AE146" i="19"/>
  <c r="AE145" i="19"/>
  <c r="AE144" i="19"/>
  <c r="AE141" i="19"/>
  <c r="AE140" i="19"/>
  <c r="AE139" i="19"/>
  <c r="AE138" i="19"/>
  <c r="AE137" i="19"/>
  <c r="AE136" i="19"/>
  <c r="AE135" i="19"/>
  <c r="AE134" i="19"/>
  <c r="AE133" i="19"/>
  <c r="AE132" i="19"/>
  <c r="AE130" i="19"/>
  <c r="AE127" i="19"/>
  <c r="AE35" i="19"/>
  <c r="AG245" i="19"/>
  <c r="AB12" i="31"/>
  <c r="F22" i="28"/>
  <c r="F24" i="28"/>
  <c r="AT396" i="19"/>
  <c r="AG330" i="19"/>
  <c r="AT398" i="19"/>
  <c r="AT399" i="19"/>
  <c r="AT400" i="19"/>
  <c r="AT401" i="19"/>
  <c r="AG265" i="19"/>
  <c r="BA256" i="19"/>
  <c r="BA328" i="19"/>
  <c r="BA329" i="19"/>
  <c r="BA346" i="19"/>
  <c r="BA348" i="19"/>
  <c r="BA350" i="19"/>
  <c r="BA389" i="19"/>
  <c r="AX392" i="19"/>
  <c r="AX393" i="19"/>
  <c r="BA395" i="19"/>
  <c r="AX396" i="19"/>
  <c r="AX398" i="19"/>
  <c r="BA402" i="19"/>
  <c r="AX401" i="19"/>
  <c r="AX400" i="19"/>
  <c r="AX399" i="19"/>
  <c r="E15" i="5"/>
  <c r="D25" i="7"/>
  <c r="D27" i="7" s="1"/>
  <c r="F22" i="7" s="1"/>
  <c r="C10" i="7"/>
  <c r="F38" i="7"/>
  <c r="F39" i="7"/>
  <c r="F40" i="7"/>
  <c r="AE34" i="19"/>
  <c r="AE69" i="19"/>
  <c r="AE274" i="19"/>
  <c r="M31" i="16"/>
  <c r="AE322" i="19"/>
  <c r="AE323" i="19"/>
  <c r="AE331" i="19"/>
  <c r="AE332" i="19"/>
  <c r="AE333" i="19"/>
  <c r="AE336" i="19"/>
  <c r="AE337" i="19"/>
  <c r="AE338" i="19"/>
  <c r="AE339" i="19"/>
  <c r="AE343" i="19"/>
  <c r="AE344" i="19"/>
  <c r="AG235" i="19"/>
  <c r="H10" i="7"/>
  <c r="P14" i="6" s="1"/>
  <c r="I15" i="16"/>
  <c r="I16" i="16"/>
  <c r="M16" i="16" s="1"/>
  <c r="I17" i="16"/>
  <c r="I18" i="16"/>
  <c r="I19" i="16"/>
  <c r="I20" i="16"/>
  <c r="I21" i="16"/>
  <c r="I22" i="16"/>
  <c r="I23" i="16"/>
  <c r="F33" i="2"/>
  <c r="H29" i="2"/>
  <c r="G36" i="1" s="1"/>
  <c r="G19" i="5"/>
  <c r="AB33" i="31"/>
  <c r="Z35" i="31"/>
  <c r="Z37" i="31"/>
  <c r="AB37" i="31" s="1"/>
  <c r="AB13" i="31"/>
  <c r="AB14" i="31"/>
  <c r="AB15" i="31"/>
  <c r="AB16" i="31"/>
  <c r="AB17" i="31"/>
  <c r="AB18" i="31"/>
  <c r="AB19" i="31"/>
  <c r="AE265" i="19"/>
  <c r="AE169" i="19"/>
  <c r="F26" i="28"/>
  <c r="P26" i="28" s="1"/>
  <c r="F28" i="28"/>
  <c r="P28" i="28" s="1"/>
  <c r="F30" i="28"/>
  <c r="P30" i="28" s="1"/>
  <c r="F32" i="28"/>
  <c r="P32" i="28"/>
  <c r="L32" i="28"/>
  <c r="F34" i="28"/>
  <c r="P34" i="28" s="1"/>
  <c r="F36" i="28"/>
  <c r="P36" i="28" s="1"/>
  <c r="F38" i="28"/>
  <c r="F40" i="28"/>
  <c r="P40" i="28"/>
  <c r="F42" i="28"/>
  <c r="P42" i="28" s="1"/>
  <c r="F44" i="28"/>
  <c r="P44" i="28" s="1"/>
  <c r="F46" i="28"/>
  <c r="L46" i="28"/>
  <c r="F48" i="28"/>
  <c r="L48" i="28"/>
  <c r="F50" i="28"/>
  <c r="L50" i="28" s="1"/>
  <c r="F52" i="28"/>
  <c r="L52" i="28" s="1"/>
  <c r="F54" i="28"/>
  <c r="L54" i="28"/>
  <c r="F56" i="28"/>
  <c r="L56" i="28"/>
  <c r="F58" i="28"/>
  <c r="L58" i="28" s="1"/>
  <c r="F60" i="28"/>
  <c r="L60" i="28" s="1"/>
  <c r="F62" i="28"/>
  <c r="L62" i="28"/>
  <c r="F64" i="28"/>
  <c r="L64" i="28"/>
  <c r="D48" i="11"/>
  <c r="F15" i="9"/>
  <c r="AN70" i="9"/>
  <c r="E17" i="5"/>
  <c r="E44" i="5"/>
  <c r="AE170" i="19"/>
  <c r="AE171" i="19"/>
  <c r="AE172" i="19"/>
  <c r="AE173" i="19"/>
  <c r="AE175" i="19"/>
  <c r="AE176" i="19"/>
  <c r="AE177" i="19"/>
  <c r="AE178" i="19"/>
  <c r="AE179" i="19"/>
  <c r="AE180" i="19"/>
  <c r="AE181" i="19"/>
  <c r="AE183" i="19"/>
  <c r="AE184" i="19"/>
  <c r="AE185" i="19"/>
  <c r="AE186" i="19"/>
  <c r="AE187" i="19"/>
  <c r="AE189" i="19"/>
  <c r="AE191" i="19"/>
  <c r="AE228" i="19"/>
  <c r="AE234" i="19"/>
  <c r="AE241" i="19"/>
  <c r="AE250" i="19"/>
  <c r="AE253" i="19"/>
  <c r="AE257" i="19"/>
  <c r="AE262" i="19"/>
  <c r="AE330" i="19"/>
  <c r="AE341" i="19"/>
  <c r="AE342" i="19"/>
  <c r="AE345" i="19"/>
  <c r="Z389" i="19"/>
  <c r="AA389" i="19" s="1"/>
  <c r="AJ392" i="19"/>
  <c r="AL392" i="19"/>
  <c r="AN392" i="19"/>
  <c r="AP392" i="19"/>
  <c r="AR392" i="19"/>
  <c r="AV392" i="19"/>
  <c r="AJ393" i="19"/>
  <c r="AL393" i="19"/>
  <c r="AN393" i="19"/>
  <c r="AP393" i="19"/>
  <c r="AR393" i="19"/>
  <c r="AV393" i="19"/>
  <c r="M396" i="19"/>
  <c r="O396" i="19"/>
  <c r="Q396" i="19"/>
  <c r="S396" i="19"/>
  <c r="U396" i="19"/>
  <c r="W396" i="19"/>
  <c r="AJ396" i="19"/>
  <c r="AL396" i="19"/>
  <c r="AN396" i="19"/>
  <c r="AP396" i="19"/>
  <c r="AR396" i="19"/>
  <c r="AV396" i="19"/>
  <c r="M398" i="19"/>
  <c r="O398" i="19"/>
  <c r="Q398" i="19"/>
  <c r="S398" i="19"/>
  <c r="U398" i="19"/>
  <c r="W398" i="19"/>
  <c r="AJ398" i="19"/>
  <c r="AL398" i="19"/>
  <c r="AN398" i="19"/>
  <c r="AP398" i="19"/>
  <c r="AR398" i="19"/>
  <c r="AV398" i="19"/>
  <c r="M399" i="19"/>
  <c r="O399" i="19"/>
  <c r="Q399" i="19"/>
  <c r="S399" i="19"/>
  <c r="U399" i="19"/>
  <c r="W399" i="19"/>
  <c r="AJ399" i="19"/>
  <c r="AL399" i="19"/>
  <c r="AN399" i="19"/>
  <c r="AP399" i="19"/>
  <c r="AR399" i="19"/>
  <c r="AV399" i="19"/>
  <c r="AJ400" i="19"/>
  <c r="AL400" i="19"/>
  <c r="AN400" i="19"/>
  <c r="AP400" i="19"/>
  <c r="AR400" i="19"/>
  <c r="AV400" i="19"/>
  <c r="AJ401" i="19"/>
  <c r="AL401" i="19"/>
  <c r="AN401" i="19"/>
  <c r="AP401" i="19"/>
  <c r="AR401" i="19"/>
  <c r="AV401" i="19"/>
  <c r="L40" i="28"/>
  <c r="AG275" i="19"/>
  <c r="F13" i="7"/>
  <c r="H13" i="7" s="1"/>
  <c r="L36" i="28"/>
  <c r="H31" i="2"/>
  <c r="H33" i="2" s="1"/>
  <c r="P38" i="28"/>
  <c r="L38" i="28"/>
  <c r="F44" i="11"/>
  <c r="AB35" i="31"/>
  <c r="AS343" i="19"/>
  <c r="L26" i="28"/>
  <c r="AO176" i="19"/>
  <c r="L30" i="28" l="1"/>
  <c r="L28" i="28"/>
  <c r="J359" i="19"/>
  <c r="AQ92" i="19"/>
  <c r="H118" i="34"/>
  <c r="H117" i="34"/>
  <c r="H119" i="34"/>
  <c r="H81" i="34"/>
  <c r="H80" i="34"/>
  <c r="AQ170" i="19"/>
  <c r="AS183" i="19"/>
  <c r="AQ343" i="19"/>
  <c r="AO182" i="19"/>
  <c r="AO343" i="19"/>
  <c r="AU343" i="19"/>
  <c r="AK343" i="19"/>
  <c r="AG111" i="19"/>
  <c r="AO92" i="19"/>
  <c r="AI336" i="19"/>
  <c r="AG96" i="19"/>
  <c r="AS96" i="19" s="1"/>
  <c r="AM19" i="19"/>
  <c r="AU19" i="19"/>
  <c r="AO19" i="19"/>
  <c r="AS19" i="19"/>
  <c r="AQ19" i="19"/>
  <c r="AM51" i="19"/>
  <c r="AU51" i="19"/>
  <c r="AO51" i="19"/>
  <c r="AQ51" i="19"/>
  <c r="AS51" i="19"/>
  <c r="AS17" i="19"/>
  <c r="AM17" i="19"/>
  <c r="AU17" i="19"/>
  <c r="AQ17" i="19"/>
  <c r="AO17" i="19"/>
  <c r="AG72" i="19"/>
  <c r="AQ72" i="19" s="1"/>
  <c r="J357" i="19"/>
  <c r="AG93" i="19"/>
  <c r="AS93" i="19" s="1"/>
  <c r="AG34" i="19"/>
  <c r="AG278" i="19"/>
  <c r="AO278" i="19" s="1"/>
  <c r="AS57" i="19"/>
  <c r="AO57" i="19"/>
  <c r="AU57" i="19"/>
  <c r="AM57" i="19"/>
  <c r="AO188" i="19"/>
  <c r="AU298" i="19"/>
  <c r="AS175" i="19"/>
  <c r="AU279" i="19"/>
  <c r="AQ295" i="19"/>
  <c r="AS290" i="19"/>
  <c r="AO282" i="19"/>
  <c r="AS287" i="19"/>
  <c r="AU287" i="19"/>
  <c r="AG312" i="19"/>
  <c r="X307" i="19"/>
  <c r="AG307" i="19"/>
  <c r="AK307" i="19" s="1"/>
  <c r="AM280" i="19"/>
  <c r="AG299" i="19"/>
  <c r="AG305" i="19"/>
  <c r="AQ305" i="19" s="1"/>
  <c r="AM175" i="19"/>
  <c r="AO175" i="19"/>
  <c r="AQ175" i="19"/>
  <c r="AG214" i="19"/>
  <c r="AU81" i="19"/>
  <c r="AS45" i="19"/>
  <c r="AO287" i="19"/>
  <c r="AQ287" i="19"/>
  <c r="AS177" i="19"/>
  <c r="AU285" i="19"/>
  <c r="AU97" i="19"/>
  <c r="AO93" i="19"/>
  <c r="AU173" i="19"/>
  <c r="AS279" i="19"/>
  <c r="AS186" i="19"/>
  <c r="N110" i="19"/>
  <c r="T110" i="19"/>
  <c r="R110" i="19"/>
  <c r="AU79" i="19"/>
  <c r="AQ113" i="19"/>
  <c r="AM46" i="19"/>
  <c r="AQ291" i="19"/>
  <c r="AO291" i="19"/>
  <c r="AO44" i="19"/>
  <c r="AU44" i="19"/>
  <c r="AM44" i="19"/>
  <c r="AS44" i="19"/>
  <c r="AQ49" i="19"/>
  <c r="AO49" i="19"/>
  <c r="AU49" i="19"/>
  <c r="N96" i="19"/>
  <c r="AO332" i="19"/>
  <c r="AM60" i="19"/>
  <c r="AU82" i="19"/>
  <c r="AQ45" i="19"/>
  <c r="AU84" i="19"/>
  <c r="AU75" i="19"/>
  <c r="AW111" i="19"/>
  <c r="AQ171" i="19"/>
  <c r="AQ174" i="19"/>
  <c r="AO116" i="19"/>
  <c r="AQ116" i="19"/>
  <c r="AU116" i="19"/>
  <c r="AS36" i="19"/>
  <c r="AM36" i="19"/>
  <c r="AU36" i="19"/>
  <c r="AQ36" i="19"/>
  <c r="AO171" i="19"/>
  <c r="AU91" i="19"/>
  <c r="AM94" i="19"/>
  <c r="AU180" i="19"/>
  <c r="AU174" i="19"/>
  <c r="AO284" i="19"/>
  <c r="AQ331" i="19"/>
  <c r="AU171" i="19"/>
  <c r="AU292" i="19"/>
  <c r="AS171" i="19"/>
  <c r="AU188" i="19"/>
  <c r="AQ119" i="19"/>
  <c r="AQ188" i="19"/>
  <c r="AS188" i="19"/>
  <c r="AU77" i="19"/>
  <c r="AO331" i="19"/>
  <c r="AM331" i="19"/>
  <c r="AU331" i="19"/>
  <c r="AU297" i="19"/>
  <c r="AS331" i="19"/>
  <c r="AK172" i="19"/>
  <c r="AQ182" i="19"/>
  <c r="AO285" i="19"/>
  <c r="AS182" i="19"/>
  <c r="AQ297" i="19"/>
  <c r="AS282" i="19"/>
  <c r="AG338" i="19"/>
  <c r="AU338" i="19" s="1"/>
  <c r="AS94" i="19"/>
  <c r="AU80" i="19"/>
  <c r="AO47" i="19"/>
  <c r="AU282" i="19"/>
  <c r="AQ332" i="19"/>
  <c r="AQ93" i="19"/>
  <c r="AU120" i="19"/>
  <c r="N310" i="19"/>
  <c r="AI116" i="19"/>
  <c r="AU69" i="19"/>
  <c r="AU299" i="19"/>
  <c r="AK280" i="19"/>
  <c r="AQ186" i="19"/>
  <c r="AQ176" i="19"/>
  <c r="AQ282" i="19"/>
  <c r="AM307" i="19"/>
  <c r="AO94" i="19"/>
  <c r="AK113" i="19"/>
  <c r="AU83" i="19"/>
  <c r="AO305" i="19"/>
  <c r="AM186" i="19"/>
  <c r="AM282" i="19"/>
  <c r="AY111" i="19"/>
  <c r="AU94" i="19"/>
  <c r="AQ50" i="19"/>
  <c r="AY94" i="19"/>
  <c r="P338" i="19"/>
  <c r="AQ117" i="19"/>
  <c r="AU117" i="19"/>
  <c r="AO117" i="19"/>
  <c r="AK310" i="19"/>
  <c r="AQ310" i="19"/>
  <c r="AM310" i="19"/>
  <c r="AQ281" i="19"/>
  <c r="AU281" i="19"/>
  <c r="AO184" i="19"/>
  <c r="AQ184" i="19"/>
  <c r="AM184" i="19"/>
  <c r="AU184" i="19"/>
  <c r="AM173" i="19"/>
  <c r="P310" i="19"/>
  <c r="AU284" i="19"/>
  <c r="R338" i="19"/>
  <c r="AS296" i="19"/>
  <c r="AQ288" i="19"/>
  <c r="AO100" i="19"/>
  <c r="AS174" i="19"/>
  <c r="AU186" i="19"/>
  <c r="T310" i="19"/>
  <c r="N338" i="19"/>
  <c r="AU50" i="19"/>
  <c r="AM45" i="19"/>
  <c r="R310" i="19"/>
  <c r="AQ284" i="19"/>
  <c r="AO45" i="19"/>
  <c r="AS173" i="19"/>
  <c r="AM295" i="19"/>
  <c r="AS284" i="19"/>
  <c r="AU45" i="19"/>
  <c r="AQ173" i="19"/>
  <c r="AQ181" i="19"/>
  <c r="AO172" i="19"/>
  <c r="AO173" i="19"/>
  <c r="AU21" i="19"/>
  <c r="AQ21" i="19"/>
  <c r="AM21" i="19"/>
  <c r="AQ41" i="19"/>
  <c r="AO41" i="19"/>
  <c r="AU41" i="19"/>
  <c r="AS293" i="19"/>
  <c r="AU293" i="19"/>
  <c r="AO286" i="19"/>
  <c r="AQ286" i="19"/>
  <c r="AU286" i="19"/>
  <c r="AS286" i="19"/>
  <c r="AQ180" i="19"/>
  <c r="AU70" i="19"/>
  <c r="AS180" i="19"/>
  <c r="AQ172" i="19"/>
  <c r="AS176" i="19"/>
  <c r="AS280" i="19"/>
  <c r="AO297" i="19"/>
  <c r="AQ296" i="19"/>
  <c r="AY336" i="19"/>
  <c r="AO288" i="19"/>
  <c r="AU290" i="19"/>
  <c r="AU113" i="19"/>
  <c r="AU115" i="19"/>
  <c r="AS172" i="19"/>
  <c r="AU291" i="19"/>
  <c r="AQ290" i="19"/>
  <c r="AK36" i="19"/>
  <c r="AG139" i="19"/>
  <c r="AM172" i="19"/>
  <c r="AO295" i="19"/>
  <c r="AS295" i="19"/>
  <c r="AU288" i="19"/>
  <c r="AO170" i="19"/>
  <c r="AO36" i="19"/>
  <c r="AO183" i="19"/>
  <c r="AU172" i="19"/>
  <c r="AS100" i="19"/>
  <c r="AO290" i="19"/>
  <c r="AU176" i="19"/>
  <c r="AS288" i="19"/>
  <c r="AU336" i="19"/>
  <c r="AO113" i="19"/>
  <c r="AM113" i="19"/>
  <c r="AK94" i="19"/>
  <c r="AU181" i="19"/>
  <c r="AQ336" i="19"/>
  <c r="AG95" i="19"/>
  <c r="AI95" i="19" s="1"/>
  <c r="AS297" i="19"/>
  <c r="AM291" i="19"/>
  <c r="AK336" i="19"/>
  <c r="AU100" i="19"/>
  <c r="AI94" i="19"/>
  <c r="AO289" i="19"/>
  <c r="AU295" i="19"/>
  <c r="AU35" i="19"/>
  <c r="AO50" i="19"/>
  <c r="AU99" i="19"/>
  <c r="AU76" i="19"/>
  <c r="J238" i="19"/>
  <c r="AG234" i="19"/>
  <c r="AG238" i="19" s="1"/>
  <c r="J347" i="19"/>
  <c r="AG333" i="19"/>
  <c r="AO333" i="19" s="1"/>
  <c r="AO39" i="19"/>
  <c r="AU39" i="19"/>
  <c r="X337" i="19"/>
  <c r="AG337" i="19"/>
  <c r="AI337" i="19" s="1"/>
  <c r="AO180" i="19"/>
  <c r="AM171" i="19"/>
  <c r="AU78" i="19"/>
  <c r="AK120" i="19"/>
  <c r="AQ111" i="19"/>
  <c r="AS42" i="19"/>
  <c r="AK116" i="19"/>
  <c r="AS60" i="19"/>
  <c r="AO21" i="19"/>
  <c r="AU92" i="19"/>
  <c r="AS181" i="19"/>
  <c r="AO119" i="19"/>
  <c r="AQ44" i="19"/>
  <c r="AM116" i="19"/>
  <c r="AI113" i="19"/>
  <c r="AK37" i="19"/>
  <c r="AS37" i="19"/>
  <c r="AU37" i="19"/>
  <c r="AM37" i="19"/>
  <c r="AO37" i="19"/>
  <c r="AQ37" i="19"/>
  <c r="AG54" i="19"/>
  <c r="F144" i="12"/>
  <c r="L402" i="19" s="1"/>
  <c r="P110" i="19"/>
  <c r="F149" i="12"/>
  <c r="P22" i="28"/>
  <c r="L22" i="28"/>
  <c r="AO222" i="19"/>
  <c r="AQ222" i="19"/>
  <c r="AU222" i="19"/>
  <c r="AS222" i="19"/>
  <c r="AM222" i="19"/>
  <c r="H22" i="7"/>
  <c r="AQ178" i="19"/>
  <c r="AU178" i="19"/>
  <c r="AO299" i="19"/>
  <c r="AM61" i="19"/>
  <c r="AS61" i="19"/>
  <c r="AU61" i="19"/>
  <c r="AQ61" i="19"/>
  <c r="AO61" i="19"/>
  <c r="AU58" i="19"/>
  <c r="AS58" i="19"/>
  <c r="AQ58" i="19"/>
  <c r="AG63" i="19"/>
  <c r="AO48" i="19"/>
  <c r="AU48" i="19"/>
  <c r="AM48" i="19"/>
  <c r="AS48" i="19"/>
  <c r="AQ48" i="19"/>
  <c r="AO40" i="19"/>
  <c r="AU40" i="19"/>
  <c r="AM40" i="19"/>
  <c r="AS40" i="19"/>
  <c r="AQ40" i="19"/>
  <c r="AQ35" i="19"/>
  <c r="AU177" i="19"/>
  <c r="AO174" i="19"/>
  <c r="AU182" i="19"/>
  <c r="AS281" i="19"/>
  <c r="AO281" i="19"/>
  <c r="P24" i="28"/>
  <c r="L24" i="28"/>
  <c r="AG277" i="19"/>
  <c r="AO177" i="19"/>
  <c r="AO35" i="19"/>
  <c r="AM174" i="19"/>
  <c r="AU183" i="19"/>
  <c r="AQ183" i="19"/>
  <c r="AQ280" i="19"/>
  <c r="AM281" i="19"/>
  <c r="AW310" i="19"/>
  <c r="AS310" i="19"/>
  <c r="AO310" i="19"/>
  <c r="AU310" i="19"/>
  <c r="AS333" i="19"/>
  <c r="AQ187" i="19"/>
  <c r="AS187" i="19"/>
  <c r="AS35" i="19"/>
  <c r="AQ34" i="19"/>
  <c r="AM35" i="19"/>
  <c r="AQ177" i="19"/>
  <c r="AQ319" i="19"/>
  <c r="AO296" i="19"/>
  <c r="AY310" i="19"/>
  <c r="L34" i="28"/>
  <c r="AS285" i="19"/>
  <c r="AQ285" i="19"/>
  <c r="AQ344" i="19"/>
  <c r="AM344" i="19"/>
  <c r="AU344" i="19"/>
  <c r="AS344" i="19"/>
  <c r="AO344" i="19"/>
  <c r="AS332" i="19"/>
  <c r="AU332" i="19"/>
  <c r="AM332" i="19"/>
  <c r="AO280" i="19"/>
  <c r="AU280" i="19"/>
  <c r="AU319" i="19"/>
  <c r="AS319" i="19"/>
  <c r="AM319" i="19"/>
  <c r="AO319" i="19"/>
  <c r="L42" i="28"/>
  <c r="K36" i="1"/>
  <c r="S17" i="8" s="1"/>
  <c r="AK383" i="19"/>
  <c r="AK170" i="19" s="1"/>
  <c r="F40" i="11"/>
  <c r="F46" i="11"/>
  <c r="F43" i="11"/>
  <c r="F45" i="11"/>
  <c r="F41" i="11"/>
  <c r="F42" i="11"/>
  <c r="AM34" i="19"/>
  <c r="AO178" i="19"/>
  <c r="AU187" i="19"/>
  <c r="AU296" i="19"/>
  <c r="AQ279" i="19"/>
  <c r="AS178" i="19"/>
  <c r="AO187" i="19"/>
  <c r="AQ299" i="19"/>
  <c r="AK299" i="19"/>
  <c r="AS299" i="19"/>
  <c r="AO279" i="19"/>
  <c r="AM279" i="19"/>
  <c r="AO179" i="19"/>
  <c r="AS179" i="19"/>
  <c r="AU179" i="19"/>
  <c r="AQ179" i="19"/>
  <c r="AM170" i="19"/>
  <c r="AS170" i="19"/>
  <c r="AU170" i="19"/>
  <c r="F25" i="7"/>
  <c r="H25" i="7" s="1"/>
  <c r="L14" i="6" s="1"/>
  <c r="AM386" i="19" s="1"/>
  <c r="AM334" i="19" s="1"/>
  <c r="AQ292" i="19"/>
  <c r="AO298" i="19"/>
  <c r="AQ298" i="19"/>
  <c r="AS298" i="19"/>
  <c r="L20" i="28"/>
  <c r="P20" i="28"/>
  <c r="AQ118" i="19"/>
  <c r="AO118" i="19"/>
  <c r="AK118" i="19"/>
  <c r="AM118" i="19"/>
  <c r="AU118" i="19"/>
  <c r="AU112" i="19"/>
  <c r="AK112" i="19"/>
  <c r="AM112" i="19"/>
  <c r="AO108" i="19"/>
  <c r="AU108" i="19"/>
  <c r="AK108" i="19"/>
  <c r="AM108" i="19"/>
  <c r="AM176" i="19"/>
  <c r="AS184" i="19"/>
  <c r="AO181" i="19"/>
  <c r="AM292" i="19"/>
  <c r="AS336" i="19"/>
  <c r="AU175" i="19"/>
  <c r="AS291" i="19"/>
  <c r="AS283" i="19"/>
  <c r="AO283" i="19"/>
  <c r="AU283" i="19"/>
  <c r="AM283" i="19"/>
  <c r="P18" i="28"/>
  <c r="L18" i="28"/>
  <c r="AO292" i="19"/>
  <c r="AQ283" i="19"/>
  <c r="L151" i="19"/>
  <c r="Z151" i="19" s="1"/>
  <c r="AG151" i="19"/>
  <c r="AS292" i="19"/>
  <c r="AM336" i="19"/>
  <c r="L44" i="28"/>
  <c r="AQ42" i="19"/>
  <c r="AU335" i="19"/>
  <c r="AS335" i="19"/>
  <c r="AO335" i="19"/>
  <c r="AQ335" i="19"/>
  <c r="AU289" i="19"/>
  <c r="AS289" i="19"/>
  <c r="AM293" i="19"/>
  <c r="AO293" i="19"/>
  <c r="AQ293" i="19"/>
  <c r="AU98" i="19"/>
  <c r="AK115" i="19"/>
  <c r="AM115" i="19"/>
  <c r="AK43" i="19"/>
  <c r="AM43" i="19"/>
  <c r="AS43" i="19"/>
  <c r="AS14" i="19"/>
  <c r="AK14" i="19"/>
  <c r="AO14" i="19"/>
  <c r="AU14" i="19"/>
  <c r="AG313" i="19"/>
  <c r="AO46" i="19"/>
  <c r="AU46" i="19"/>
  <c r="AQ46" i="19"/>
  <c r="AO38" i="19"/>
  <c r="AU38" i="19"/>
  <c r="AQ38" i="19"/>
  <c r="AM59" i="19"/>
  <c r="AS59" i="19"/>
  <c r="AU59" i="19"/>
  <c r="AI109" i="19"/>
  <c r="AM109" i="19"/>
  <c r="J365" i="19"/>
  <c r="J102" i="19"/>
  <c r="AG90" i="19"/>
  <c r="AS111" i="19"/>
  <c r="AQ39" i="19"/>
  <c r="AO115" i="19"/>
  <c r="AQ108" i="19"/>
  <c r="X74" i="19"/>
  <c r="AG74" i="19"/>
  <c r="AI74" i="19" s="1"/>
  <c r="AG226" i="19"/>
  <c r="AG26" i="19"/>
  <c r="AG29" i="19" s="1"/>
  <c r="AI310" i="19"/>
  <c r="AU47" i="19"/>
  <c r="AS50" i="19"/>
  <c r="AS39" i="19"/>
  <c r="AS21" i="19"/>
  <c r="AS92" i="19"/>
  <c r="AO60" i="19"/>
  <c r="AO109" i="19"/>
  <c r="AM111" i="19"/>
  <c r="AM42" i="19"/>
  <c r="AK111" i="19"/>
  <c r="AI117" i="19"/>
  <c r="AK117" i="19"/>
  <c r="AM117" i="19"/>
  <c r="AM49" i="19"/>
  <c r="AS49" i="19"/>
  <c r="AM41" i="19"/>
  <c r="AS41" i="19"/>
  <c r="AG152" i="19"/>
  <c r="AG134" i="19"/>
  <c r="AG135" i="19"/>
  <c r="AG133" i="19"/>
  <c r="X107" i="19"/>
  <c r="AG107" i="19"/>
  <c r="AK107" i="19" s="1"/>
  <c r="X73" i="19"/>
  <c r="AG73" i="19"/>
  <c r="AI73" i="19" s="1"/>
  <c r="AU119" i="19"/>
  <c r="AU111" i="19"/>
  <c r="AS38" i="19"/>
  <c r="AQ115" i="19"/>
  <c r="AQ47" i="19"/>
  <c r="AQ14" i="19"/>
  <c r="AO111" i="19"/>
  <c r="AO43" i="19"/>
  <c r="AO59" i="19"/>
  <c r="AM120" i="19"/>
  <c r="AM14" i="19"/>
  <c r="AG136" i="19"/>
  <c r="X310" i="19"/>
  <c r="V310" i="19"/>
  <c r="L310" i="19"/>
  <c r="L16" i="28"/>
  <c r="AU109" i="19"/>
  <c r="AS47" i="19"/>
  <c r="AQ60" i="19"/>
  <c r="AQ109" i="19"/>
  <c r="AO42" i="19"/>
  <c r="AM119" i="19"/>
  <c r="AM50" i="19"/>
  <c r="AM39" i="19"/>
  <c r="AK119" i="19"/>
  <c r="AK109" i="19"/>
  <c r="AI120" i="19"/>
  <c r="AO120" i="19"/>
  <c r="AQ120" i="19"/>
  <c r="AI112" i="19"/>
  <c r="AO112" i="19"/>
  <c r="AQ112" i="19"/>
  <c r="AQ100" i="19"/>
  <c r="AU93" i="19"/>
  <c r="AM58" i="19"/>
  <c r="AO58" i="19"/>
  <c r="AI108" i="19"/>
  <c r="AI307" i="19"/>
  <c r="AU43" i="19"/>
  <c r="AU60" i="19"/>
  <c r="AS46" i="19"/>
  <c r="AQ43" i="19"/>
  <c r="AQ59" i="19"/>
  <c r="AM38" i="19"/>
  <c r="AM96" i="19"/>
  <c r="AG228" i="19"/>
  <c r="AG316" i="19"/>
  <c r="L96" i="19"/>
  <c r="X96" i="19"/>
  <c r="V96" i="19"/>
  <c r="P96" i="19"/>
  <c r="T96" i="19"/>
  <c r="AU42" i="19"/>
  <c r="AQ96" i="19"/>
  <c r="AM47" i="19"/>
  <c r="AI96" i="19"/>
  <c r="AK92" i="19"/>
  <c r="AQ57" i="19"/>
  <c r="AG155" i="19"/>
  <c r="AG294" i="19"/>
  <c r="AI119" i="19"/>
  <c r="AI115" i="19"/>
  <c r="AI111" i="19"/>
  <c r="J63" i="19"/>
  <c r="AG210" i="19"/>
  <c r="AG185" i="19"/>
  <c r="L338" i="19"/>
  <c r="V338" i="19"/>
  <c r="X338" i="19"/>
  <c r="N74" i="8"/>
  <c r="L54" i="8" s="1"/>
  <c r="AI118" i="19"/>
  <c r="AG303" i="19"/>
  <c r="AG321" i="19"/>
  <c r="AG114" i="19"/>
  <c r="AI114" i="19" s="1"/>
  <c r="J54" i="19"/>
  <c r="X110" i="19"/>
  <c r="AG311" i="19"/>
  <c r="G40" i="5"/>
  <c r="G15" i="5"/>
  <c r="G17" i="5" s="1"/>
  <c r="G21" i="5" s="1"/>
  <c r="I13" i="5" s="1"/>
  <c r="AG304" i="19"/>
  <c r="N72" i="8"/>
  <c r="AG306" i="19"/>
  <c r="J23" i="19"/>
  <c r="AU71" i="19"/>
  <c r="L110" i="19"/>
  <c r="AG110" i="19"/>
  <c r="J86" i="19"/>
  <c r="AQ333" i="19" l="1"/>
  <c r="AU34" i="19"/>
  <c r="AU54" i="19" s="1"/>
  <c r="AY96" i="19"/>
  <c r="AK96" i="19"/>
  <c r="AS34" i="19"/>
  <c r="AS72" i="19"/>
  <c r="AG359" i="19"/>
  <c r="AO34" i="19"/>
  <c r="AU72" i="19"/>
  <c r="AO72" i="19"/>
  <c r="AG189" i="19"/>
  <c r="AS189" i="19" s="1"/>
  <c r="AG315" i="19"/>
  <c r="AS307" i="19"/>
  <c r="AY307" i="19"/>
  <c r="AO307" i="19"/>
  <c r="AU307" i="19"/>
  <c r="AM305" i="19"/>
  <c r="AU305" i="19"/>
  <c r="AS305" i="19"/>
  <c r="AG302" i="19"/>
  <c r="BA310" i="19"/>
  <c r="AO96" i="19"/>
  <c r="AW96" i="19"/>
  <c r="AK292" i="19"/>
  <c r="AU278" i="19"/>
  <c r="AS278" i="19"/>
  <c r="AK279" i="19"/>
  <c r="AQ278" i="19"/>
  <c r="AU96" i="19"/>
  <c r="AM278" i="19"/>
  <c r="AK40" i="19"/>
  <c r="AK20" i="19"/>
  <c r="AK18" i="19"/>
  <c r="AK52" i="19"/>
  <c r="AK51" i="19"/>
  <c r="AK19" i="19"/>
  <c r="AK17" i="19"/>
  <c r="Z96" i="19"/>
  <c r="Z310" i="19"/>
  <c r="Z338" i="19"/>
  <c r="AM74" i="19"/>
  <c r="X309" i="19"/>
  <c r="AG309" i="19"/>
  <c r="AK21" i="19"/>
  <c r="AK57" i="19"/>
  <c r="AK39" i="19"/>
  <c r="AK49" i="19"/>
  <c r="AK42" i="19"/>
  <c r="AO338" i="19"/>
  <c r="AK38" i="19"/>
  <c r="AK50" i="19"/>
  <c r="AK41" i="19"/>
  <c r="AK59" i="19"/>
  <c r="AK47" i="19"/>
  <c r="AM95" i="19"/>
  <c r="AQ338" i="19"/>
  <c r="AK74" i="19"/>
  <c r="J122" i="19"/>
  <c r="AS338" i="19"/>
  <c r="AW338" i="19"/>
  <c r="AK338" i="19"/>
  <c r="AI338" i="19"/>
  <c r="AG347" i="19"/>
  <c r="AM338" i="19"/>
  <c r="AY338" i="19"/>
  <c r="AG65" i="19"/>
  <c r="AU95" i="19"/>
  <c r="AY95" i="19"/>
  <c r="AQ95" i="19"/>
  <c r="AK34" i="19"/>
  <c r="AS95" i="19"/>
  <c r="AK95" i="19"/>
  <c r="AO107" i="19"/>
  <c r="AI107" i="19"/>
  <c r="AO74" i="19"/>
  <c r="J65" i="19"/>
  <c r="AQ189" i="19"/>
  <c r="AU333" i="19"/>
  <c r="AK333" i="19"/>
  <c r="AU74" i="19"/>
  <c r="AU337" i="19"/>
  <c r="AY337" i="19"/>
  <c r="AK337" i="19"/>
  <c r="AM337" i="19"/>
  <c r="AO337" i="19"/>
  <c r="AS337" i="19"/>
  <c r="V402" i="19"/>
  <c r="F151" i="12"/>
  <c r="AS63" i="19"/>
  <c r="AO63" i="19"/>
  <c r="AQ63" i="19"/>
  <c r="AM63" i="19"/>
  <c r="BA111" i="19"/>
  <c r="AU63" i="19"/>
  <c r="AQ54" i="19"/>
  <c r="F15" i="4"/>
  <c r="AI384" i="19" s="1"/>
  <c r="AM343" i="19"/>
  <c r="AM333" i="19"/>
  <c r="AO114" i="19"/>
  <c r="AQ114" i="19"/>
  <c r="AU114" i="19"/>
  <c r="AK114" i="19"/>
  <c r="AM114" i="19"/>
  <c r="AK294" i="19"/>
  <c r="AU294" i="19"/>
  <c r="AS294" i="19"/>
  <c r="AO294" i="19"/>
  <c r="AQ294" i="19"/>
  <c r="AM294" i="19"/>
  <c r="AM92" i="19"/>
  <c r="AU90" i="19"/>
  <c r="AG102" i="19"/>
  <c r="AG199" i="19"/>
  <c r="AM54" i="19"/>
  <c r="AK44" i="19"/>
  <c r="AK60" i="19"/>
  <c r="AK45" i="19"/>
  <c r="AK46" i="19"/>
  <c r="AK291" i="19"/>
  <c r="AK283" i="19"/>
  <c r="AK282" i="19"/>
  <c r="AK293" i="19"/>
  <c r="AK184" i="19"/>
  <c r="AK35" i="19"/>
  <c r="AK331" i="19"/>
  <c r="AK173" i="19"/>
  <c r="AK186" i="19"/>
  <c r="AK281" i="19"/>
  <c r="AK171" i="19"/>
  <c r="AK295" i="19"/>
  <c r="AK175" i="19"/>
  <c r="AK278" i="19"/>
  <c r="I19" i="5"/>
  <c r="N15" i="4" s="1"/>
  <c r="AK319" i="19"/>
  <c r="AG86" i="19"/>
  <c r="H54" i="8"/>
  <c r="N76" i="8"/>
  <c r="I15" i="5"/>
  <c r="J15" i="4" s="1"/>
  <c r="AG132" i="19"/>
  <c r="AK58" i="19"/>
  <c r="AK222" i="19"/>
  <c r="AO304" i="19"/>
  <c r="AQ304" i="19"/>
  <c r="AS304" i="19"/>
  <c r="AU304" i="19"/>
  <c r="AK304" i="19"/>
  <c r="AS185" i="19"/>
  <c r="AM185" i="19"/>
  <c r="AO185" i="19"/>
  <c r="AK185" i="19"/>
  <c r="AQ185" i="19"/>
  <c r="AU185" i="19"/>
  <c r="AM73" i="19"/>
  <c r="AG127" i="19"/>
  <c r="AG365" i="19" s="1"/>
  <c r="J161" i="19"/>
  <c r="AM299" i="19"/>
  <c r="AK61" i="19"/>
  <c r="H14" i="6"/>
  <c r="H27" i="7"/>
  <c r="AS151" i="19"/>
  <c r="BA151" i="19" s="1"/>
  <c r="AG244" i="19"/>
  <c r="AO189" i="19"/>
  <c r="AU189" i="19"/>
  <c r="AM134" i="19"/>
  <c r="AQ134" i="19"/>
  <c r="AO134" i="19"/>
  <c r="AU134" i="19"/>
  <c r="AK134" i="19"/>
  <c r="AS134" i="19"/>
  <c r="AQ26" i="19"/>
  <c r="AQ29" i="19" s="1"/>
  <c r="AU26" i="19"/>
  <c r="AU29" i="19" s="1"/>
  <c r="AO26" i="19"/>
  <c r="AO29" i="19" s="1"/>
  <c r="AK26" i="19"/>
  <c r="AK29" i="19" s="1"/>
  <c r="AM26" i="19"/>
  <c r="AM29" i="19" s="1"/>
  <c r="AS26" i="19"/>
  <c r="AS29" i="19" s="1"/>
  <c r="AK73" i="19"/>
  <c r="AM189" i="19"/>
  <c r="AK176" i="19"/>
  <c r="F27" i="7"/>
  <c r="H38" i="8"/>
  <c r="L32" i="8" s="1"/>
  <c r="AK189" i="19"/>
  <c r="AU306" i="19"/>
  <c r="AS306" i="19"/>
  <c r="AO306" i="19"/>
  <c r="AQ306" i="19"/>
  <c r="AM306" i="19"/>
  <c r="AK303" i="19"/>
  <c r="AS303" i="19"/>
  <c r="AO303" i="19"/>
  <c r="AQ303" i="19"/>
  <c r="AU303" i="19"/>
  <c r="V56" i="8"/>
  <c r="V53" i="8"/>
  <c r="AS74" i="19"/>
  <c r="F48" i="11"/>
  <c r="AK344" i="19"/>
  <c r="AK174" i="19"/>
  <c r="AK48" i="19"/>
  <c r="G42" i="5"/>
  <c r="G44" i="5" s="1"/>
  <c r="G48" i="5" s="1"/>
  <c r="I40" i="5" s="1"/>
  <c r="AU73" i="19"/>
  <c r="AS73" i="19"/>
  <c r="AY73" i="19"/>
  <c r="AQ73" i="19"/>
  <c r="AG357" i="19"/>
  <c r="AY107" i="19"/>
  <c r="AQ107" i="19"/>
  <c r="AS107" i="19"/>
  <c r="AM107" i="19"/>
  <c r="AW107" i="19"/>
  <c r="AU107" i="19"/>
  <c r="AY74" i="19"/>
  <c r="AS15" i="19"/>
  <c r="AS23" i="19" s="1"/>
  <c r="AU15" i="19"/>
  <c r="AU23" i="19" s="1"/>
  <c r="AQ15" i="19"/>
  <c r="AQ23" i="19" s="1"/>
  <c r="AK15" i="19"/>
  <c r="AM15" i="19"/>
  <c r="AM23" i="19" s="1"/>
  <c r="AG23" i="19"/>
  <c r="AO15" i="19"/>
  <c r="AO23" i="19" s="1"/>
  <c r="J104" i="19"/>
  <c r="AI110" i="19"/>
  <c r="AK110" i="19"/>
  <c r="AO110" i="19"/>
  <c r="AY110" i="19"/>
  <c r="AM110" i="19"/>
  <c r="AG122" i="19"/>
  <c r="AU110" i="19"/>
  <c r="AW110" i="19"/>
  <c r="AQ110" i="19"/>
  <c r="AS110" i="19"/>
  <c r="V200" i="19" l="1"/>
  <c r="L200" i="19"/>
  <c r="T200" i="19"/>
  <c r="AG195" i="19"/>
  <c r="J361" i="19"/>
  <c r="AS54" i="19"/>
  <c r="AS65" i="19" s="1"/>
  <c r="AO54" i="19"/>
  <c r="AO65" i="19" s="1"/>
  <c r="AG191" i="19"/>
  <c r="AU359" i="19"/>
  <c r="AU360" i="19" s="1"/>
  <c r="AI306" i="19"/>
  <c r="AI302" i="19"/>
  <c r="N200" i="19"/>
  <c r="AG200" i="19"/>
  <c r="AO302" i="19"/>
  <c r="AQ302" i="19"/>
  <c r="AS302" i="19"/>
  <c r="AM302" i="19"/>
  <c r="AU302" i="19"/>
  <c r="AG196" i="19"/>
  <c r="AG192" i="19"/>
  <c r="X200" i="19"/>
  <c r="P200" i="19"/>
  <c r="R200" i="19"/>
  <c r="BA96" i="19"/>
  <c r="AK200" i="19"/>
  <c r="AM200" i="19"/>
  <c r="AG194" i="19"/>
  <c r="AG197" i="19"/>
  <c r="J363" i="19"/>
  <c r="AY309" i="19"/>
  <c r="AQ309" i="19"/>
  <c r="AS309" i="19"/>
  <c r="AM309" i="19"/>
  <c r="AK309" i="19"/>
  <c r="AU309" i="19"/>
  <c r="AI309" i="19"/>
  <c r="J165" i="19"/>
  <c r="AU102" i="19"/>
  <c r="BA338" i="19"/>
  <c r="AI122" i="19"/>
  <c r="AM65" i="19"/>
  <c r="AK23" i="19"/>
  <c r="AU357" i="19"/>
  <c r="AU358" i="19" s="1"/>
  <c r="AS99" i="19"/>
  <c r="AS359" i="19" s="1"/>
  <c r="AS360" i="19" s="1"/>
  <c r="AS393" i="19" s="1"/>
  <c r="Z402" i="19"/>
  <c r="AA402" i="19" s="1"/>
  <c r="V110" i="19"/>
  <c r="Z110" i="19" s="1"/>
  <c r="AQ65" i="19"/>
  <c r="AS357" i="19"/>
  <c r="AS358" i="19" s="1"/>
  <c r="AS392" i="19" s="1"/>
  <c r="AS70" i="19" s="1"/>
  <c r="AU65" i="19"/>
  <c r="AO122" i="19"/>
  <c r="AM122" i="19"/>
  <c r="AK122" i="19"/>
  <c r="AQ122" i="19"/>
  <c r="AU122" i="19"/>
  <c r="AK63" i="19"/>
  <c r="I46" i="5"/>
  <c r="P43" i="4" s="1"/>
  <c r="T53" i="8"/>
  <c r="T57" i="8"/>
  <c r="BA107" i="19"/>
  <c r="L36" i="8"/>
  <c r="N14" i="8" s="1"/>
  <c r="L34" i="8"/>
  <c r="J14" i="8" s="1"/>
  <c r="AG161" i="19"/>
  <c r="AG104" i="19"/>
  <c r="AG361" i="19" s="1"/>
  <c r="I42" i="5"/>
  <c r="L43" i="4" s="1"/>
  <c r="F14" i="8"/>
  <c r="AG241" i="19"/>
  <c r="AG248" i="19" s="1"/>
  <c r="J248" i="19"/>
  <c r="AU132" i="19"/>
  <c r="AO132" i="19"/>
  <c r="AM132" i="19"/>
  <c r="AI132" i="19"/>
  <c r="AQ132" i="19"/>
  <c r="AK132" i="19"/>
  <c r="AK54" i="19"/>
  <c r="S56" i="8"/>
  <c r="T56" i="8" s="1"/>
  <c r="Y56" i="8" s="1"/>
  <c r="AK388" i="19" s="1"/>
  <c r="U17" i="8"/>
  <c r="AK384" i="19"/>
  <c r="AK302" i="19" s="1"/>
  <c r="AU86" i="19"/>
  <c r="I17" i="5"/>
  <c r="I21" i="5" s="1"/>
  <c r="X199" i="19"/>
  <c r="X308" i="19"/>
  <c r="AG308" i="19"/>
  <c r="AI305" i="19"/>
  <c r="AI332" i="19"/>
  <c r="BA110" i="19"/>
  <c r="AG363" i="19" l="1"/>
  <c r="AW200" i="19"/>
  <c r="AY200" i="19"/>
  <c r="AQ200" i="19"/>
  <c r="AO200" i="19"/>
  <c r="AQ192" i="19"/>
  <c r="AU192" i="19"/>
  <c r="AK192" i="19"/>
  <c r="AO192" i="19"/>
  <c r="AS192" i="19"/>
  <c r="AI192" i="19"/>
  <c r="AM192" i="19"/>
  <c r="AI200" i="19"/>
  <c r="AU200" i="19"/>
  <c r="AS200" i="19"/>
  <c r="AS97" i="19"/>
  <c r="AS98" i="19"/>
  <c r="AS91" i="19"/>
  <c r="AS90" i="19"/>
  <c r="AG193" i="19"/>
  <c r="Z200" i="19"/>
  <c r="AG165" i="19"/>
  <c r="AG198" i="19"/>
  <c r="X197" i="19"/>
  <c r="AU104" i="19"/>
  <c r="AU361" i="19" s="1"/>
  <c r="AS80" i="19"/>
  <c r="AS76" i="19"/>
  <c r="AS69" i="19"/>
  <c r="AS83" i="19"/>
  <c r="AS78" i="19"/>
  <c r="AS77" i="19"/>
  <c r="AS71" i="19"/>
  <c r="AS75" i="19"/>
  <c r="AS82" i="19"/>
  <c r="AS79" i="19"/>
  <c r="AS84" i="19"/>
  <c r="AS81" i="19"/>
  <c r="AK65" i="19"/>
  <c r="L38" i="8"/>
  <c r="AK305" i="19"/>
  <c r="AK332" i="19"/>
  <c r="AK306" i="19"/>
  <c r="T14" i="8"/>
  <c r="T18" i="8"/>
  <c r="T17" i="8"/>
  <c r="X14" i="8"/>
  <c r="X17" i="8"/>
  <c r="V18" i="8"/>
  <c r="V14" i="8"/>
  <c r="AG314" i="19"/>
  <c r="V17" i="8"/>
  <c r="W18" i="8"/>
  <c r="X18" i="8" s="1"/>
  <c r="U57" i="8"/>
  <c r="V57" i="8" s="1"/>
  <c r="Y57" i="8" s="1"/>
  <c r="AM388" i="19" s="1"/>
  <c r="AM385" i="19"/>
  <c r="AK100" i="19"/>
  <c r="AK72" i="19"/>
  <c r="AK357" i="19" s="1"/>
  <c r="AK358" i="19" s="1"/>
  <c r="AK392" i="19" s="1"/>
  <c r="AK93" i="19"/>
  <c r="AK188" i="19"/>
  <c r="AK297" i="19"/>
  <c r="AK298" i="19"/>
  <c r="AK296" i="19"/>
  <c r="AK187" i="19"/>
  <c r="AG301" i="19"/>
  <c r="AG367" i="19" s="1"/>
  <c r="H43" i="4"/>
  <c r="I44" i="5"/>
  <c r="I48" i="5" s="1"/>
  <c r="AY308" i="19"/>
  <c r="AS308" i="19"/>
  <c r="AU308" i="19"/>
  <c r="AM308" i="19"/>
  <c r="AQ308" i="19"/>
  <c r="AK308" i="19"/>
  <c r="AI308" i="19"/>
  <c r="AY199" i="19"/>
  <c r="AM199" i="19"/>
  <c r="AQ199" i="19"/>
  <c r="AI199" i="19"/>
  <c r="AS199" i="19"/>
  <c r="AU199" i="19"/>
  <c r="AK199" i="19"/>
  <c r="BA200" i="19" l="1"/>
  <c r="AS102" i="19"/>
  <c r="AU362" i="19"/>
  <c r="AU396" i="19" s="1"/>
  <c r="AU214" i="19" s="1"/>
  <c r="AU197" i="19"/>
  <c r="AI197" i="19"/>
  <c r="AY197" i="19"/>
  <c r="AS197" i="19"/>
  <c r="AK197" i="19"/>
  <c r="AM197" i="19"/>
  <c r="AO197" i="19"/>
  <c r="X198" i="19"/>
  <c r="J367" i="19"/>
  <c r="J327" i="19"/>
  <c r="AS86" i="19"/>
  <c r="AM72" i="19"/>
  <c r="AM357" i="19" s="1"/>
  <c r="AM358" i="19" s="1"/>
  <c r="AM392" i="19" s="1"/>
  <c r="AM93" i="19"/>
  <c r="AM297" i="19"/>
  <c r="AM188" i="19"/>
  <c r="AM298" i="19"/>
  <c r="AM100" i="19"/>
  <c r="AM296" i="19"/>
  <c r="AM187" i="19"/>
  <c r="AS301" i="19"/>
  <c r="AK301" i="19"/>
  <c r="AO301" i="19"/>
  <c r="AQ301" i="19"/>
  <c r="AM301" i="19"/>
  <c r="AU301" i="19"/>
  <c r="AG327" i="19"/>
  <c r="AG349" i="19" s="1"/>
  <c r="AG369" i="19" s="1"/>
  <c r="Y17" i="8"/>
  <c r="AK387" i="19" s="1"/>
  <c r="Y18" i="8"/>
  <c r="AM387" i="19" s="1"/>
  <c r="AK314" i="19"/>
  <c r="AU314" i="19"/>
  <c r="AM314" i="19"/>
  <c r="AI314" i="19"/>
  <c r="AO314" i="19"/>
  <c r="AQ314" i="19"/>
  <c r="AK82" i="19"/>
  <c r="AK83" i="19"/>
  <c r="AK70" i="19"/>
  <c r="AK77" i="19"/>
  <c r="AK75" i="19"/>
  <c r="AK69" i="19"/>
  <c r="AK76" i="19"/>
  <c r="AK81" i="19"/>
  <c r="AK80" i="19"/>
  <c r="AK84" i="19"/>
  <c r="AK79" i="19"/>
  <c r="AK78" i="19"/>
  <c r="AK71" i="19"/>
  <c r="AG211" i="19"/>
  <c r="AG212" i="19"/>
  <c r="AM303" i="19"/>
  <c r="AM304" i="19"/>
  <c r="AS104" i="19" l="1"/>
  <c r="AU210" i="19"/>
  <c r="AU211" i="19"/>
  <c r="AU212" i="19"/>
  <c r="AU129" i="19"/>
  <c r="AU209" i="19"/>
  <c r="AU215" i="19"/>
  <c r="AU146" i="19"/>
  <c r="AU206" i="19"/>
  <c r="AU311" i="19"/>
  <c r="AU313" i="19"/>
  <c r="AU157" i="19"/>
  <c r="AU223" i="19"/>
  <c r="AU145" i="19"/>
  <c r="AU322" i="19"/>
  <c r="AU320" i="19"/>
  <c r="AU225" i="19"/>
  <c r="AU143" i="19"/>
  <c r="AU221" i="19"/>
  <c r="AU138" i="19"/>
  <c r="AU202" i="19"/>
  <c r="AU136" i="19"/>
  <c r="AU144" i="19"/>
  <c r="AU218" i="19"/>
  <c r="AU323" i="19"/>
  <c r="AU316" i="19"/>
  <c r="AU224" i="19"/>
  <c r="AU227" i="19"/>
  <c r="AU137" i="19"/>
  <c r="AU203" i="19"/>
  <c r="AU205" i="19"/>
  <c r="AU139" i="19"/>
  <c r="AU135" i="19"/>
  <c r="AU208" i="19"/>
  <c r="AU228" i="19"/>
  <c r="AU156" i="19"/>
  <c r="AU318" i="19"/>
  <c r="AU226" i="19"/>
  <c r="AU147" i="19"/>
  <c r="AU148" i="19"/>
  <c r="AU315" i="19"/>
  <c r="AU217" i="19"/>
  <c r="AU201" i="19"/>
  <c r="AU130" i="19"/>
  <c r="AU317" i="19"/>
  <c r="AU204" i="19"/>
  <c r="AU152" i="19"/>
  <c r="AU149" i="19"/>
  <c r="AU219" i="19"/>
  <c r="AU150" i="19"/>
  <c r="AU321" i="19"/>
  <c r="AU207" i="19"/>
  <c r="AU159" i="19"/>
  <c r="AU216" i="19"/>
  <c r="AU220" i="19"/>
  <c r="AU127" i="19"/>
  <c r="AU312" i="19"/>
  <c r="AU339" i="19"/>
  <c r="AU158" i="19"/>
  <c r="AI198" i="19"/>
  <c r="AQ198" i="19"/>
  <c r="AM198" i="19"/>
  <c r="AU198" i="19"/>
  <c r="AS198" i="19"/>
  <c r="AY198" i="19"/>
  <c r="AK198" i="19"/>
  <c r="J349" i="19"/>
  <c r="J369" i="19" s="1"/>
  <c r="AK99" i="19"/>
  <c r="AK359" i="19" s="1"/>
  <c r="AK360" i="19" s="1"/>
  <c r="AK393" i="19" s="1"/>
  <c r="AK98" i="19" s="1"/>
  <c r="AK86" i="19"/>
  <c r="AM289" i="19"/>
  <c r="AM286" i="19"/>
  <c r="AM288" i="19"/>
  <c r="AM179" i="19"/>
  <c r="AM183" i="19"/>
  <c r="AM177" i="19"/>
  <c r="AM181" i="19"/>
  <c r="AM180" i="19"/>
  <c r="AM178" i="19"/>
  <c r="AM287" i="19"/>
  <c r="AM335" i="19"/>
  <c r="AM182" i="19"/>
  <c r="AM290" i="19"/>
  <c r="AM284" i="19"/>
  <c r="AM285" i="19"/>
  <c r="AK335" i="19"/>
  <c r="AK289" i="19"/>
  <c r="AK286" i="19"/>
  <c r="AK287" i="19"/>
  <c r="AK285" i="19"/>
  <c r="AK183" i="19"/>
  <c r="AK288" i="19"/>
  <c r="AK290" i="19"/>
  <c r="AK284" i="19"/>
  <c r="AK180" i="19"/>
  <c r="AK182" i="19"/>
  <c r="AK181" i="19"/>
  <c r="AK179" i="19"/>
  <c r="AK177" i="19"/>
  <c r="AK178" i="19"/>
  <c r="AM81" i="19"/>
  <c r="AM76" i="19"/>
  <c r="AM69" i="19"/>
  <c r="AM80" i="19"/>
  <c r="AM70" i="19"/>
  <c r="AM71" i="19"/>
  <c r="AM78" i="19"/>
  <c r="AM82" i="19"/>
  <c r="AM75" i="19"/>
  <c r="AM84" i="19"/>
  <c r="AM79" i="19"/>
  <c r="AM77" i="19"/>
  <c r="AM83" i="19"/>
  <c r="AU365" i="19" l="1"/>
  <c r="AU366" i="19" s="1"/>
  <c r="AU398" i="19" s="1"/>
  <c r="AK97" i="19"/>
  <c r="AK90" i="19"/>
  <c r="AK91" i="19"/>
  <c r="AU367" i="19"/>
  <c r="AM99" i="19"/>
  <c r="AM359" i="19" s="1"/>
  <c r="AM360" i="19" s="1"/>
  <c r="AM393" i="19" s="1"/>
  <c r="AM98" i="19" s="1"/>
  <c r="J231" i="19"/>
  <c r="AK196" i="19"/>
  <c r="AI196" i="19"/>
  <c r="AS196" i="19"/>
  <c r="AM196" i="19"/>
  <c r="AU196" i="19"/>
  <c r="AQ196" i="19"/>
  <c r="AO196" i="19"/>
  <c r="AM86" i="19"/>
  <c r="AS195" i="19"/>
  <c r="AM195" i="19"/>
  <c r="AO195" i="19"/>
  <c r="AQ195" i="19"/>
  <c r="AI195" i="19"/>
  <c r="AU195" i="19"/>
  <c r="AK195" i="19"/>
  <c r="AU194" i="19"/>
  <c r="AM194" i="19"/>
  <c r="AQ194" i="19"/>
  <c r="AK194" i="19"/>
  <c r="AS194" i="19"/>
  <c r="AO194" i="19"/>
  <c r="AM193" i="19"/>
  <c r="AQ193" i="19"/>
  <c r="AU193" i="19"/>
  <c r="AK193" i="19"/>
  <c r="AO193" i="19"/>
  <c r="AS193" i="19"/>
  <c r="AU153" i="19" l="1"/>
  <c r="AU140" i="19"/>
  <c r="AU154" i="19"/>
  <c r="AU241" i="19"/>
  <c r="AU133" i="19"/>
  <c r="AU141" i="19"/>
  <c r="AU155" i="19"/>
  <c r="AK102" i="19"/>
  <c r="AK104" i="19" s="1"/>
  <c r="AK361" i="19" s="1"/>
  <c r="AM97" i="19"/>
  <c r="AM91" i="19"/>
  <c r="AM90" i="19"/>
  <c r="J371" i="19"/>
  <c r="J255" i="19"/>
  <c r="AU191" i="19"/>
  <c r="AK191" i="19"/>
  <c r="AS191" i="19"/>
  <c r="AO191" i="19"/>
  <c r="AM191" i="19"/>
  <c r="AQ191" i="19"/>
  <c r="AG231" i="19"/>
  <c r="AG371" i="19" s="1"/>
  <c r="AU363" i="19" l="1"/>
  <c r="AK362" i="19"/>
  <c r="AK396" i="19" s="1"/>
  <c r="AM102" i="19"/>
  <c r="AM104" i="19" s="1"/>
  <c r="AM361" i="19" s="1"/>
  <c r="AG255" i="19"/>
  <c r="BA236" i="19"/>
  <c r="AK214" i="19" l="1"/>
  <c r="AK212" i="19"/>
  <c r="AK321" i="19"/>
  <c r="AK152" i="19"/>
  <c r="AK158" i="19"/>
  <c r="AK156" i="19"/>
  <c r="AK136" i="19"/>
  <c r="AK149" i="19"/>
  <c r="AK138" i="19"/>
  <c r="AK315" i="19"/>
  <c r="AK217" i="19"/>
  <c r="AK220" i="19"/>
  <c r="AK227" i="19"/>
  <c r="AK312" i="19"/>
  <c r="AK316" i="19"/>
  <c r="AK311" i="19"/>
  <c r="AK210" i="19"/>
  <c r="AK215" i="19"/>
  <c r="AK228" i="19"/>
  <c r="AK209" i="19"/>
  <c r="AK223" i="19"/>
  <c r="AK145" i="19"/>
  <c r="AK205" i="19"/>
  <c r="AK317" i="19"/>
  <c r="AK144" i="19"/>
  <c r="AK206" i="19"/>
  <c r="AK150" i="19"/>
  <c r="AK313" i="19"/>
  <c r="AK135" i="19"/>
  <c r="AK147" i="19"/>
  <c r="AK159" i="19"/>
  <c r="AK129" i="19"/>
  <c r="AK225" i="19"/>
  <c r="AK143" i="19"/>
  <c r="AK208" i="19"/>
  <c r="AK207" i="19"/>
  <c r="AK201" i="19"/>
  <c r="AK157" i="19"/>
  <c r="AK318" i="19"/>
  <c r="AK148" i="19"/>
  <c r="AK218" i="19"/>
  <c r="AK146" i="19"/>
  <c r="AK203" i="19"/>
  <c r="AK339" i="19"/>
  <c r="AK127" i="19"/>
  <c r="AK211" i="19"/>
  <c r="AK137" i="19"/>
  <c r="AK139" i="19"/>
  <c r="AK226" i="19"/>
  <c r="AK130" i="19"/>
  <c r="AK322" i="19"/>
  <c r="AK323" i="19"/>
  <c r="AK221" i="19"/>
  <c r="AK219" i="19"/>
  <c r="AK224" i="19"/>
  <c r="AK204" i="19"/>
  <c r="AK216" i="19"/>
  <c r="AK320" i="19"/>
  <c r="AK202" i="19"/>
  <c r="AM362" i="19"/>
  <c r="AM396" i="19" s="1"/>
  <c r="AK153" i="19"/>
  <c r="AQ99" i="19"/>
  <c r="AK367" i="19" l="1"/>
  <c r="AK365" i="19"/>
  <c r="AK366" i="19" s="1"/>
  <c r="AK398" i="19" s="1"/>
  <c r="AM214" i="19"/>
  <c r="AM219" i="19"/>
  <c r="AM158" i="19"/>
  <c r="AM150" i="19"/>
  <c r="AM224" i="19"/>
  <c r="AM323" i="19"/>
  <c r="AM317" i="19"/>
  <c r="AM156" i="19"/>
  <c r="AM322" i="19"/>
  <c r="AM138" i="19"/>
  <c r="AM159" i="19"/>
  <c r="AM208" i="19"/>
  <c r="AM210" i="19"/>
  <c r="AM139" i="19"/>
  <c r="AM152" i="19"/>
  <c r="AM218" i="19"/>
  <c r="AM318" i="19"/>
  <c r="AM313" i="19"/>
  <c r="AM312" i="19"/>
  <c r="AM209" i="19"/>
  <c r="AM135" i="19"/>
  <c r="AM225" i="19"/>
  <c r="AM316" i="19"/>
  <c r="AM216" i="19"/>
  <c r="AM201" i="19"/>
  <c r="AM148" i="19"/>
  <c r="AM217" i="19"/>
  <c r="AM211" i="19"/>
  <c r="AM137" i="19"/>
  <c r="AM202" i="19"/>
  <c r="AM320" i="19"/>
  <c r="AM221" i="19"/>
  <c r="AM206" i="19"/>
  <c r="AM203" i="19"/>
  <c r="AM339" i="19"/>
  <c r="AM146" i="19"/>
  <c r="AM215" i="19"/>
  <c r="AM157" i="19"/>
  <c r="AM228" i="19"/>
  <c r="AM149" i="19"/>
  <c r="AM220" i="19"/>
  <c r="AM136" i="19"/>
  <c r="AM212" i="19"/>
  <c r="AM129" i="19"/>
  <c r="AM315" i="19"/>
  <c r="AM130" i="19"/>
  <c r="AM127" i="19"/>
  <c r="AM321" i="19"/>
  <c r="AM311" i="19"/>
  <c r="AM227" i="19"/>
  <c r="AM226" i="19"/>
  <c r="AM145" i="19"/>
  <c r="AM143" i="19"/>
  <c r="AM223" i="19"/>
  <c r="AM147" i="19"/>
  <c r="AM204" i="19"/>
  <c r="AM205" i="19"/>
  <c r="AM207" i="19"/>
  <c r="AM144" i="19"/>
  <c r="AM153" i="19"/>
  <c r="AO99" i="19"/>
  <c r="AM367" i="19" l="1"/>
  <c r="AK241" i="19"/>
  <c r="AK155" i="19"/>
  <c r="AK154" i="19"/>
  <c r="AK133" i="19"/>
  <c r="AK140" i="19"/>
  <c r="AK141" i="19"/>
  <c r="AM365" i="19"/>
  <c r="AM366" i="19" s="1"/>
  <c r="AM398" i="19" s="1"/>
  <c r="AK363" i="19" l="1"/>
  <c r="AM154" i="19"/>
  <c r="AM140" i="19"/>
  <c r="AM133" i="19"/>
  <c r="AM155" i="19"/>
  <c r="AM141" i="19"/>
  <c r="AM241" i="19"/>
  <c r="AM363" i="19" l="1"/>
  <c r="AU364" i="19" l="1"/>
  <c r="AU397" i="19" s="1"/>
  <c r="AU340" i="19" s="1"/>
  <c r="AK364" i="19"/>
  <c r="AK397" i="19" s="1"/>
  <c r="AK340" i="19" s="1"/>
  <c r="AM364" i="19"/>
  <c r="AM397" i="19" s="1"/>
  <c r="AM340" i="19" s="1"/>
  <c r="AK368" i="19" l="1"/>
  <c r="AK399" i="19" s="1"/>
  <c r="AM368" i="19"/>
  <c r="AM399" i="19" s="1"/>
  <c r="AU368" i="19"/>
  <c r="AU399" i="19" s="1"/>
  <c r="AU345" i="19" s="1"/>
  <c r="AU229" i="19" l="1"/>
  <c r="AU274" i="19"/>
  <c r="AU276" i="19"/>
  <c r="AU341" i="19"/>
  <c r="AU169" i="19"/>
  <c r="AU275" i="19"/>
  <c r="AU277" i="19"/>
  <c r="AU330" i="19"/>
  <c r="AU342" i="19"/>
  <c r="AM229" i="19"/>
  <c r="AM274" i="19"/>
  <c r="AM276" i="19"/>
  <c r="AM341" i="19"/>
  <c r="AM169" i="19"/>
  <c r="AM275" i="19"/>
  <c r="AM277" i="19"/>
  <c r="AM330" i="19"/>
  <c r="AM342" i="19"/>
  <c r="AK169" i="19"/>
  <c r="AK275" i="19"/>
  <c r="AK277" i="19"/>
  <c r="AK330" i="19"/>
  <c r="AK342" i="19"/>
  <c r="AK229" i="19"/>
  <c r="AK274" i="19"/>
  <c r="AK276" i="19"/>
  <c r="AK341" i="19"/>
  <c r="AK345" i="19"/>
  <c r="AM345" i="19"/>
  <c r="AM231" i="19" l="1"/>
  <c r="AU231" i="19"/>
  <c r="AU347" i="19"/>
  <c r="AK231" i="19"/>
  <c r="AK347" i="19"/>
  <c r="AM347" i="19"/>
  <c r="AG264" i="19" l="1"/>
  <c r="AQ264" i="19" l="1"/>
  <c r="AK264" i="19"/>
  <c r="AM264" i="19"/>
  <c r="AO264" i="19"/>
  <c r="AU264" i="19"/>
  <c r="AI264" i="19"/>
  <c r="AG260" i="19" l="1"/>
  <c r="AG259" i="19"/>
  <c r="Y39" i="27"/>
  <c r="AG258" i="19" l="1"/>
  <c r="AI260" i="19"/>
  <c r="AQ260" i="19"/>
  <c r="AO260" i="19"/>
  <c r="AK260" i="19"/>
  <c r="AU260" i="19"/>
  <c r="AM260" i="19"/>
  <c r="AG263" i="19"/>
  <c r="AI263" i="19" l="1"/>
  <c r="AK263" i="19"/>
  <c r="AM263" i="19"/>
  <c r="AQ263" i="19"/>
  <c r="AO263" i="19"/>
  <c r="AU263" i="19"/>
  <c r="AG262" i="19"/>
  <c r="AU262" i="19" l="1"/>
  <c r="AK262" i="19"/>
  <c r="AM262" i="19"/>
  <c r="AO262" i="19"/>
  <c r="AQ262" i="19"/>
  <c r="AS262" i="19"/>
  <c r="M22" i="16" l="1"/>
  <c r="Z49" i="31" l="1"/>
  <c r="M21" i="16"/>
  <c r="Z43" i="31"/>
  <c r="AB43" i="31" s="1"/>
  <c r="M18" i="16"/>
  <c r="Z51" i="31"/>
  <c r="M23" i="16"/>
  <c r="M20" i="16"/>
  <c r="Z47" i="31"/>
  <c r="Z39" i="31"/>
  <c r="M15" i="16"/>
  <c r="M17" i="16"/>
  <c r="Z41" i="31"/>
  <c r="AB41" i="31" s="1"/>
  <c r="M24" i="16"/>
  <c r="Z45" i="31" l="1"/>
  <c r="AB45" i="31" s="1"/>
  <c r="M19" i="16"/>
  <c r="D38" i="10"/>
  <c r="M30" i="16"/>
  <c r="M33" i="16" s="1"/>
  <c r="K33" i="16"/>
  <c r="K26" i="16"/>
  <c r="M26" i="16"/>
  <c r="AB47" i="31"/>
  <c r="AF47" i="31" s="1"/>
  <c r="AD47" i="31"/>
  <c r="AB39" i="31"/>
  <c r="AD51" i="31"/>
  <c r="AB51" i="31"/>
  <c r="AF51" i="31" s="1"/>
  <c r="AD49" i="31"/>
  <c r="AB49" i="31"/>
  <c r="AF49" i="31" s="1"/>
  <c r="Z53" i="31" l="1"/>
  <c r="AB11" i="31" s="1"/>
  <c r="AB21" i="31" s="1"/>
  <c r="D32" i="9" s="1"/>
  <c r="Y23" i="27"/>
  <c r="H28" i="27" s="1"/>
  <c r="Y24" i="27"/>
  <c r="H30" i="27" s="1"/>
  <c r="AB53" i="31"/>
  <c r="D53" i="9" s="1"/>
  <c r="K35" i="16"/>
  <c r="M35" i="16"/>
  <c r="O26" i="16" s="1"/>
  <c r="Z21" i="31" l="1"/>
  <c r="O33" i="16"/>
  <c r="O35" i="16" s="1"/>
  <c r="L22" i="4"/>
  <c r="N21" i="6"/>
  <c r="N50" i="4"/>
  <c r="D51" i="4" l="1"/>
  <c r="L23" i="4"/>
  <c r="N23" i="4" s="1"/>
  <c r="AY384" i="19" s="1"/>
  <c r="AY302" i="19" s="1"/>
  <c r="N22" i="6"/>
  <c r="P22" i="6" s="1"/>
  <c r="N51" i="4"/>
  <c r="P51" i="4" s="1"/>
  <c r="D21" i="6"/>
  <c r="D50" i="4"/>
  <c r="P21" i="6"/>
  <c r="P50" i="4"/>
  <c r="P53" i="4" s="1"/>
  <c r="N22" i="4"/>
  <c r="L25" i="4"/>
  <c r="AY332" i="19" l="1"/>
  <c r="AY306" i="19"/>
  <c r="AY195" i="19"/>
  <c r="N53" i="4"/>
  <c r="AY196" i="19"/>
  <c r="D22" i="6"/>
  <c r="P24" i="6"/>
  <c r="N24" i="6"/>
  <c r="AY192" i="19"/>
  <c r="AY305" i="19"/>
  <c r="AW384" i="19"/>
  <c r="N25" i="4"/>
  <c r="AW192" i="19" l="1"/>
  <c r="BA192" i="19" s="1"/>
  <c r="AW195" i="19"/>
  <c r="BA195" i="19" s="1"/>
  <c r="AW302" i="19"/>
  <c r="BA302" i="19" s="1"/>
  <c r="AW196" i="19"/>
  <c r="BA196" i="19" s="1"/>
  <c r="BA384" i="19"/>
  <c r="AW305" i="19"/>
  <c r="BA305" i="19" s="1"/>
  <c r="AW306" i="19"/>
  <c r="BA306" i="19" s="1"/>
  <c r="AW332" i="19"/>
  <c r="BA332" i="19" s="1"/>
  <c r="D20" i="6" l="1"/>
  <c r="D49" i="4"/>
  <c r="D18" i="2"/>
  <c r="H18" i="2" s="1"/>
  <c r="E62" i="5" l="1"/>
  <c r="I62" i="5" s="1"/>
  <c r="D40" i="7"/>
  <c r="H40" i="7" s="1"/>
  <c r="X17" i="31" l="1"/>
  <c r="X12" i="31"/>
  <c r="V43" i="31" l="1"/>
  <c r="X43" i="31" s="1"/>
  <c r="X18" i="31"/>
  <c r="X15" i="31"/>
  <c r="V39" i="31"/>
  <c r="X39" i="31" s="1"/>
  <c r="V37" i="31"/>
  <c r="X37" i="31" s="1"/>
  <c r="X14" i="31"/>
  <c r="X16" i="31"/>
  <c r="V41" i="31"/>
  <c r="X41" i="31" s="1"/>
  <c r="X13" i="31"/>
  <c r="V35" i="31"/>
  <c r="X35" i="31" s="1"/>
  <c r="V45" i="31"/>
  <c r="X45" i="31" s="1"/>
  <c r="X19" i="31"/>
  <c r="Y22" i="27"/>
  <c r="H26" i="27" s="1"/>
  <c r="X11" i="31" l="1"/>
  <c r="X21" i="31" s="1"/>
  <c r="D31" i="9" s="1"/>
  <c r="V33" i="31"/>
  <c r="V21" i="31"/>
  <c r="D37" i="10" l="1"/>
  <c r="V53" i="31"/>
  <c r="X33" i="31"/>
  <c r="X53" i="31" s="1"/>
  <c r="D52" i="9" s="1"/>
  <c r="D19" i="6" l="1"/>
  <c r="D17" i="2"/>
  <c r="H17" i="2" s="1"/>
  <c r="D48" i="4"/>
  <c r="E61" i="5" l="1"/>
  <c r="I61" i="5" s="1"/>
  <c r="D39" i="7"/>
  <c r="H39" i="7" s="1"/>
  <c r="F113" i="34" l="1"/>
  <c r="F74" i="34"/>
  <c r="F75" i="34"/>
  <c r="F76" i="34"/>
  <c r="F112" i="34"/>
  <c r="T12" i="31" l="1"/>
  <c r="T17" i="31"/>
  <c r="Y25" i="27"/>
  <c r="Y38" i="27"/>
  <c r="T16" i="31" l="1"/>
  <c r="R41" i="31"/>
  <c r="T41" i="31" s="1"/>
  <c r="T18" i="31"/>
  <c r="R43" i="31"/>
  <c r="T43" i="31" s="1"/>
  <c r="Y21" i="27"/>
  <c r="H24" i="27" s="1"/>
  <c r="T13" i="31"/>
  <c r="R35" i="31"/>
  <c r="T35" i="31" s="1"/>
  <c r="R39" i="31"/>
  <c r="T39" i="31" s="1"/>
  <c r="T15" i="31"/>
  <c r="R37" i="31"/>
  <c r="T37" i="31" s="1"/>
  <c r="T14" i="31"/>
  <c r="T19" i="31"/>
  <c r="R45" i="31"/>
  <c r="T45" i="31" s="1"/>
  <c r="V40" i="27" l="1"/>
  <c r="R33" i="31"/>
  <c r="R21" i="31"/>
  <c r="T11" i="31"/>
  <c r="T21" i="31" s="1"/>
  <c r="D30" i="9" s="1"/>
  <c r="F35" i="31" l="1"/>
  <c r="L12" i="31"/>
  <c r="D36" i="10"/>
  <c r="L17" i="31"/>
  <c r="R53" i="31"/>
  <c r="T33" i="31"/>
  <c r="T53" i="31" s="1"/>
  <c r="D51" i="9" s="1"/>
  <c r="F39" i="31" l="1"/>
  <c r="H15" i="31"/>
  <c r="H13" i="31"/>
  <c r="H17" i="31"/>
  <c r="H19" i="31"/>
  <c r="F45" i="31"/>
  <c r="H12" i="31"/>
  <c r="L19" i="31"/>
  <c r="J45" i="31"/>
  <c r="L45" i="31" s="1"/>
  <c r="L15" i="31"/>
  <c r="J39" i="31"/>
  <c r="L39" i="31" s="1"/>
  <c r="J35" i="31"/>
  <c r="L35" i="31" s="1"/>
  <c r="L13" i="31"/>
  <c r="J41" i="31"/>
  <c r="L41" i="31" s="1"/>
  <c r="L16" i="31"/>
  <c r="L14" i="31"/>
  <c r="J37" i="31"/>
  <c r="L37" i="31" s="1"/>
  <c r="H16" i="31"/>
  <c r="F41" i="31"/>
  <c r="L18" i="31"/>
  <c r="J43" i="31"/>
  <c r="L43" i="31" s="1"/>
  <c r="H45" i="31" l="1"/>
  <c r="H41" i="31"/>
  <c r="H39" i="31"/>
  <c r="H35" i="31"/>
  <c r="H18" i="31"/>
  <c r="F43" i="31"/>
  <c r="F37" i="31"/>
  <c r="H14" i="31"/>
  <c r="F33" i="31" l="1"/>
  <c r="H37" i="31"/>
  <c r="H43" i="31"/>
  <c r="H11" i="31" l="1"/>
  <c r="F21" i="31"/>
  <c r="L11" i="31"/>
  <c r="L21" i="31" s="1"/>
  <c r="D28" i="9" s="1"/>
  <c r="J21" i="31"/>
  <c r="J33" i="31"/>
  <c r="D33" i="10" l="1"/>
  <c r="L33" i="31"/>
  <c r="L53" i="31" s="1"/>
  <c r="D49" i="9" s="1"/>
  <c r="J53" i="31"/>
  <c r="D34" i="10"/>
  <c r="H21" i="31"/>
  <c r="D27" i="9" s="1"/>
  <c r="F53" i="31"/>
  <c r="H33" i="31"/>
  <c r="H53" i="31" l="1"/>
  <c r="D48" i="9" s="1"/>
  <c r="Y19" i="27" l="1"/>
  <c r="H20" i="27" s="1"/>
  <c r="D15" i="2" l="1"/>
  <c r="H15" i="2" s="1"/>
  <c r="D46" i="4"/>
  <c r="E59" i="5" s="1"/>
  <c r="I59" i="5" s="1"/>
  <c r="D17" i="6"/>
  <c r="D37" i="7" l="1"/>
  <c r="H37" i="7" s="1"/>
  <c r="D47" i="4" l="1"/>
  <c r="D18" i="6"/>
  <c r="D16" i="2"/>
  <c r="H16" i="2" s="1"/>
  <c r="D38" i="7" l="1"/>
  <c r="H38" i="7" s="1"/>
  <c r="E60" i="5"/>
  <c r="I60" i="5" s="1"/>
  <c r="N35" i="31" l="1"/>
  <c r="P13" i="31"/>
  <c r="AF13" i="31" s="1"/>
  <c r="AD13" i="31"/>
  <c r="P14" i="31"/>
  <c r="AF14" i="31" s="1"/>
  <c r="N37" i="31"/>
  <c r="AD14" i="31"/>
  <c r="N43" i="31"/>
  <c r="P18" i="31"/>
  <c r="AF18" i="31" s="1"/>
  <c r="AD18" i="31"/>
  <c r="N45" i="31"/>
  <c r="P19" i="31"/>
  <c r="AF19" i="31" s="1"/>
  <c r="AD19" i="31"/>
  <c r="P16" i="31"/>
  <c r="AF16" i="31" s="1"/>
  <c r="N41" i="31"/>
  <c r="AD16" i="31"/>
  <c r="P17" i="31"/>
  <c r="AF17" i="31" s="1"/>
  <c r="AD17" i="31"/>
  <c r="P15" i="31"/>
  <c r="AF15" i="31" s="1"/>
  <c r="N39" i="31"/>
  <c r="AD15" i="31"/>
  <c r="P12" i="31"/>
  <c r="AF12" i="31" s="1"/>
  <c r="AD12" i="31"/>
  <c r="P39" i="31" l="1"/>
  <c r="AF39" i="31" s="1"/>
  <c r="AD39" i="31"/>
  <c r="P43" i="31"/>
  <c r="AF43" i="31" s="1"/>
  <c r="AD43" i="31"/>
  <c r="P41" i="31"/>
  <c r="AF41" i="31" s="1"/>
  <c r="AD41" i="31"/>
  <c r="P45" i="31"/>
  <c r="AF45" i="31" s="1"/>
  <c r="AD45" i="31"/>
  <c r="P37" i="31"/>
  <c r="AF37" i="31" s="1"/>
  <c r="AD37" i="31"/>
  <c r="P35" i="31"/>
  <c r="AF35" i="31" s="1"/>
  <c r="AD35" i="31"/>
  <c r="Y20" i="27" l="1"/>
  <c r="H22" i="27" s="1"/>
  <c r="P11" i="31"/>
  <c r="N21" i="31"/>
  <c r="N33" i="31"/>
  <c r="AD11" i="31"/>
  <c r="AD21" i="31" s="1"/>
  <c r="P21" i="31" l="1"/>
  <c r="D29" i="9" s="1"/>
  <c r="AF11" i="31"/>
  <c r="AF21" i="31" s="1"/>
  <c r="N53" i="31"/>
  <c r="P33" i="31"/>
  <c r="AD33" i="31"/>
  <c r="AD53" i="31" s="1"/>
  <c r="D35" i="10"/>
  <c r="D21" i="10"/>
  <c r="F13" i="10" s="1"/>
  <c r="Y18" i="27"/>
  <c r="H18" i="27" s="1"/>
  <c r="H32" i="27" l="1"/>
  <c r="J22" i="27" s="1"/>
  <c r="P53" i="31"/>
  <c r="D50" i="9" s="1"/>
  <c r="AF33" i="31"/>
  <c r="AF53" i="31" s="1"/>
  <c r="F19" i="10"/>
  <c r="E18" i="35"/>
  <c r="E22" i="35" s="1"/>
  <c r="K22" i="35" s="1"/>
  <c r="F18" i="10"/>
  <c r="F17" i="10"/>
  <c r="T394" i="19" s="1"/>
  <c r="F16" i="10"/>
  <c r="R394" i="19" s="1"/>
  <c r="F14" i="10"/>
  <c r="N394" i="19" s="1"/>
  <c r="D40" i="10"/>
  <c r="F35" i="10" s="1"/>
  <c r="P395" i="19" s="1"/>
  <c r="F15" i="10"/>
  <c r="P394" i="19" s="1"/>
  <c r="D34" i="9"/>
  <c r="J18" i="27" l="1"/>
  <c r="F29" i="9"/>
  <c r="P390" i="19" s="1"/>
  <c r="F27" i="9"/>
  <c r="J28" i="27"/>
  <c r="J24" i="27"/>
  <c r="J20" i="27"/>
  <c r="J30" i="27"/>
  <c r="J26" i="27"/>
  <c r="P111" i="19"/>
  <c r="P107" i="19"/>
  <c r="E14" i="35"/>
  <c r="E20" i="35" s="1"/>
  <c r="F32" i="9"/>
  <c r="F31" i="9"/>
  <c r="T390" i="19" s="1"/>
  <c r="F30" i="9"/>
  <c r="R390" i="19" s="1"/>
  <c r="F28" i="9"/>
  <c r="N390" i="19" s="1"/>
  <c r="R213" i="19"/>
  <c r="R112" i="19"/>
  <c r="R132" i="19"/>
  <c r="R264" i="19"/>
  <c r="R314" i="19"/>
  <c r="R109" i="19"/>
  <c r="R114" i="19"/>
  <c r="R113" i="19"/>
  <c r="R117" i="19"/>
  <c r="R115" i="19"/>
  <c r="R119" i="19"/>
  <c r="R118" i="19"/>
  <c r="R108" i="19"/>
  <c r="R260" i="19"/>
  <c r="R263" i="19"/>
  <c r="R116" i="19"/>
  <c r="R120" i="19"/>
  <c r="X394" i="19"/>
  <c r="AY394" i="19"/>
  <c r="L394" i="19"/>
  <c r="F21" i="10"/>
  <c r="P308" i="19"/>
  <c r="P199" i="19"/>
  <c r="P95" i="19"/>
  <c r="P336" i="19"/>
  <c r="P73" i="19"/>
  <c r="P309" i="19"/>
  <c r="P198" i="19"/>
  <c r="T112" i="19"/>
  <c r="T116" i="19"/>
  <c r="T263" i="19"/>
  <c r="T213" i="19"/>
  <c r="T120" i="19"/>
  <c r="T260" i="19"/>
  <c r="T132" i="19"/>
  <c r="T264" i="19"/>
  <c r="T113" i="19"/>
  <c r="T117" i="19"/>
  <c r="T109" i="19"/>
  <c r="T114" i="19"/>
  <c r="T314" i="19"/>
  <c r="T118" i="19"/>
  <c r="T108" i="19"/>
  <c r="T115" i="19"/>
  <c r="T119" i="19"/>
  <c r="Y27" i="27"/>
  <c r="P112" i="19"/>
  <c r="P119" i="19"/>
  <c r="P120" i="19"/>
  <c r="P264" i="19"/>
  <c r="P213" i="19"/>
  <c r="P132" i="19"/>
  <c r="P260" i="19"/>
  <c r="P263" i="19"/>
  <c r="P109" i="19"/>
  <c r="P116" i="19"/>
  <c r="P113" i="19"/>
  <c r="P117" i="19"/>
  <c r="P314" i="19"/>
  <c r="P115" i="19"/>
  <c r="P114" i="19"/>
  <c r="P118" i="19"/>
  <c r="P108" i="19"/>
  <c r="AW394" i="19"/>
  <c r="V394" i="19"/>
  <c r="F38" i="10"/>
  <c r="V395" i="19" s="1"/>
  <c r="F37" i="10"/>
  <c r="T395" i="19" s="1"/>
  <c r="F36" i="10"/>
  <c r="R395" i="19" s="1"/>
  <c r="F34" i="10"/>
  <c r="N395" i="19" s="1"/>
  <c r="F33" i="10"/>
  <c r="N114" i="19"/>
  <c r="N118" i="19"/>
  <c r="N113" i="19"/>
  <c r="N117" i="19"/>
  <c r="N314" i="19"/>
  <c r="N119" i="19"/>
  <c r="N109" i="19"/>
  <c r="N108" i="19"/>
  <c r="N115" i="19"/>
  <c r="N116" i="19"/>
  <c r="N132" i="19"/>
  <c r="N264" i="19"/>
  <c r="N112" i="19"/>
  <c r="N213" i="19"/>
  <c r="N263" i="19"/>
  <c r="N120" i="19"/>
  <c r="N260" i="19"/>
  <c r="D55" i="9"/>
  <c r="F50" i="9" s="1"/>
  <c r="P391" i="19" s="1"/>
  <c r="J32" i="27" l="1"/>
  <c r="P307" i="19"/>
  <c r="P94" i="19"/>
  <c r="P74" i="19"/>
  <c r="P337" i="19"/>
  <c r="P197" i="19"/>
  <c r="T111" i="19"/>
  <c r="T107" i="19"/>
  <c r="AY213" i="19"/>
  <c r="AY117" i="19"/>
  <c r="AY108" i="19"/>
  <c r="AY264" i="19"/>
  <c r="AY314" i="19"/>
  <c r="AY118" i="19"/>
  <c r="AY115" i="19"/>
  <c r="AY119" i="19"/>
  <c r="AY114" i="19"/>
  <c r="AY116" i="19"/>
  <c r="AY120" i="19"/>
  <c r="AY260" i="19"/>
  <c r="AY112" i="19"/>
  <c r="AY109" i="19"/>
  <c r="AY113" i="19"/>
  <c r="AY263" i="19"/>
  <c r="AY132" i="19"/>
  <c r="F34" i="9"/>
  <c r="L390" i="19"/>
  <c r="AW390" i="19"/>
  <c r="V390" i="19"/>
  <c r="L395" i="19"/>
  <c r="F40" i="10"/>
  <c r="V111" i="19"/>
  <c r="V107" i="19"/>
  <c r="X213" i="19"/>
  <c r="X260" i="19"/>
  <c r="X114" i="19"/>
  <c r="X264" i="19"/>
  <c r="X263" i="19"/>
  <c r="X119" i="19"/>
  <c r="X132" i="19"/>
  <c r="X115" i="19"/>
  <c r="X118" i="19"/>
  <c r="X112" i="19"/>
  <c r="X116" i="19"/>
  <c r="X120" i="19"/>
  <c r="X108" i="19"/>
  <c r="X113" i="19"/>
  <c r="X117" i="19"/>
  <c r="X314" i="19"/>
  <c r="X109" i="19"/>
  <c r="N95" i="19"/>
  <c r="N309" i="19"/>
  <c r="N198" i="19"/>
  <c r="N73" i="19"/>
  <c r="N308" i="19"/>
  <c r="N336" i="19"/>
  <c r="N199" i="19"/>
  <c r="E16" i="35"/>
  <c r="F53" i="9"/>
  <c r="F52" i="9"/>
  <c r="T391" i="19" s="1"/>
  <c r="F51" i="9"/>
  <c r="R391" i="19" s="1"/>
  <c r="F49" i="9"/>
  <c r="N391" i="19" s="1"/>
  <c r="F48" i="9"/>
  <c r="N107" i="19"/>
  <c r="N111" i="19"/>
  <c r="V132" i="19"/>
  <c r="V120" i="19"/>
  <c r="V109" i="19"/>
  <c r="V116" i="19"/>
  <c r="V264" i="19"/>
  <c r="V213" i="19"/>
  <c r="V118" i="19"/>
  <c r="V260" i="19"/>
  <c r="V263" i="19"/>
  <c r="V113" i="19"/>
  <c r="V114" i="19"/>
  <c r="V119" i="19"/>
  <c r="V115" i="19"/>
  <c r="V117" i="19"/>
  <c r="V314" i="19"/>
  <c r="V108" i="19"/>
  <c r="V112" i="19"/>
  <c r="R199" i="19"/>
  <c r="R336" i="19"/>
  <c r="R309" i="19"/>
  <c r="R73" i="19"/>
  <c r="R95" i="19"/>
  <c r="R198" i="19"/>
  <c r="R308" i="19"/>
  <c r="P122" i="19"/>
  <c r="R107" i="19"/>
  <c r="R111" i="19"/>
  <c r="AW213" i="19"/>
  <c r="AW115" i="19"/>
  <c r="AW263" i="19"/>
  <c r="AW113" i="19"/>
  <c r="AW132" i="19"/>
  <c r="AW112" i="19"/>
  <c r="AW116" i="19"/>
  <c r="AW264" i="19"/>
  <c r="AW260" i="19"/>
  <c r="AW109" i="19"/>
  <c r="AW108" i="19"/>
  <c r="AW119" i="19"/>
  <c r="AS394" i="19"/>
  <c r="AW314" i="19"/>
  <c r="AW114" i="19"/>
  <c r="AW118" i="19"/>
  <c r="AW120" i="19"/>
  <c r="AW117" i="19"/>
  <c r="L213" i="19"/>
  <c r="L263" i="19"/>
  <c r="Z394" i="19"/>
  <c r="AA394" i="19" s="1"/>
  <c r="L120" i="19"/>
  <c r="L314" i="19"/>
  <c r="L115" i="19"/>
  <c r="L119" i="19"/>
  <c r="L114" i="19"/>
  <c r="L260" i="19"/>
  <c r="L109" i="19"/>
  <c r="L117" i="19"/>
  <c r="L108" i="19"/>
  <c r="L118" i="19"/>
  <c r="L264" i="19"/>
  <c r="L113" i="19"/>
  <c r="L132" i="19"/>
  <c r="L112" i="19"/>
  <c r="L116" i="19"/>
  <c r="T73" i="19"/>
  <c r="T309" i="19"/>
  <c r="T199" i="19"/>
  <c r="T336" i="19"/>
  <c r="T95" i="19"/>
  <c r="T308" i="19"/>
  <c r="T198" i="19"/>
  <c r="Z213" i="19" l="1"/>
  <c r="Z109" i="19"/>
  <c r="Z112" i="19"/>
  <c r="Z113" i="19"/>
  <c r="Z117" i="19"/>
  <c r="Z119" i="19"/>
  <c r="Z118" i="19"/>
  <c r="Z132" i="19"/>
  <c r="Z114" i="19"/>
  <c r="Z314" i="19"/>
  <c r="R122" i="19"/>
  <c r="Z116" i="19"/>
  <c r="Z264" i="19"/>
  <c r="Z115" i="19"/>
  <c r="Z263" i="19"/>
  <c r="N122" i="19"/>
  <c r="T122" i="19"/>
  <c r="Z260" i="19"/>
  <c r="Z108" i="19"/>
  <c r="Z120" i="19"/>
  <c r="AS213" i="19"/>
  <c r="BA213" i="19" s="1"/>
  <c r="AS115" i="19"/>
  <c r="BA115" i="19" s="1"/>
  <c r="AS132" i="19"/>
  <c r="BA132" i="19" s="1"/>
  <c r="BA394" i="19"/>
  <c r="AS260" i="19"/>
  <c r="BA260" i="19" s="1"/>
  <c r="AS116" i="19"/>
  <c r="BA116" i="19" s="1"/>
  <c r="AS120" i="19"/>
  <c r="BA120" i="19" s="1"/>
  <c r="AS119" i="19"/>
  <c r="BA119" i="19" s="1"/>
  <c r="AS264" i="19"/>
  <c r="BA264" i="19" s="1"/>
  <c r="AS118" i="19"/>
  <c r="BA118" i="19" s="1"/>
  <c r="AS113" i="19"/>
  <c r="BA113" i="19" s="1"/>
  <c r="AS117" i="19"/>
  <c r="BA117" i="19" s="1"/>
  <c r="AS109" i="19"/>
  <c r="BA109" i="19" s="1"/>
  <c r="AS112" i="19"/>
  <c r="BA112" i="19" s="1"/>
  <c r="AS114" i="19"/>
  <c r="BA114" i="19" s="1"/>
  <c r="AS314" i="19"/>
  <c r="BA314" i="19" s="1"/>
  <c r="AS263" i="19"/>
  <c r="BA263" i="19" s="1"/>
  <c r="AS108" i="19"/>
  <c r="L391" i="19"/>
  <c r="F55" i="9"/>
  <c r="AW391" i="19"/>
  <c r="V391" i="19"/>
  <c r="AW198" i="19"/>
  <c r="AW336" i="19"/>
  <c r="AO390" i="19"/>
  <c r="AW95" i="19"/>
  <c r="AW199" i="19"/>
  <c r="AW308" i="19"/>
  <c r="AW309" i="19"/>
  <c r="AW73" i="19"/>
  <c r="AI271" i="19"/>
  <c r="BA271" i="19" s="1"/>
  <c r="N307" i="19"/>
  <c r="N337" i="19"/>
  <c r="N74" i="19"/>
  <c r="N94" i="19"/>
  <c r="N197" i="19"/>
  <c r="X122" i="19"/>
  <c r="L308" i="19"/>
  <c r="L95" i="19"/>
  <c r="L199" i="19"/>
  <c r="L198" i="19"/>
  <c r="L336" i="19"/>
  <c r="L73" i="19"/>
  <c r="Z390" i="19"/>
  <c r="AA390" i="19" s="1"/>
  <c r="L309" i="19"/>
  <c r="AW122" i="19"/>
  <c r="R337" i="19"/>
  <c r="R94" i="19"/>
  <c r="R74" i="19"/>
  <c r="R307" i="19"/>
  <c r="R197" i="19"/>
  <c r="L111" i="19"/>
  <c r="Z111" i="19" s="1"/>
  <c r="Z395" i="19"/>
  <c r="AA395" i="19" s="1"/>
  <c r="L107" i="19"/>
  <c r="AY122" i="19"/>
  <c r="T94" i="19"/>
  <c r="T74" i="19"/>
  <c r="T337" i="19"/>
  <c r="T307" i="19"/>
  <c r="T197" i="19"/>
  <c r="V122" i="19"/>
  <c r="V198" i="19"/>
  <c r="V199" i="19"/>
  <c r="V309" i="19"/>
  <c r="V73" i="19"/>
  <c r="V308" i="19"/>
  <c r="V95" i="19"/>
  <c r="V336" i="19"/>
  <c r="Z309" i="19" l="1"/>
  <c r="Z198" i="19"/>
  <c r="L337" i="19"/>
  <c r="L197" i="19"/>
  <c r="Z391" i="19"/>
  <c r="AA391" i="19" s="1"/>
  <c r="L307" i="19"/>
  <c r="L74" i="19"/>
  <c r="L94" i="19"/>
  <c r="Z199" i="19"/>
  <c r="V94" i="19"/>
  <c r="V337" i="19"/>
  <c r="V74" i="19"/>
  <c r="V197" i="19"/>
  <c r="V307" i="19"/>
  <c r="BA108" i="19"/>
  <c r="AS122" i="19"/>
  <c r="Z73" i="19"/>
  <c r="Z95" i="19"/>
  <c r="AO309" i="19"/>
  <c r="BA309" i="19" s="1"/>
  <c r="AO95" i="19"/>
  <c r="AO198" i="19"/>
  <c r="BA198" i="19" s="1"/>
  <c r="AO308" i="19"/>
  <c r="AO199" i="19"/>
  <c r="BA199" i="19" s="1"/>
  <c r="AO73" i="19"/>
  <c r="AO336" i="19"/>
  <c r="BA336" i="19" s="1"/>
  <c r="BA390" i="19"/>
  <c r="AW74" i="19"/>
  <c r="AW197" i="19"/>
  <c r="AW94" i="19"/>
  <c r="AQ391" i="19"/>
  <c r="AW307" i="19"/>
  <c r="AW337" i="19"/>
  <c r="Z107" i="19"/>
  <c r="L122" i="19"/>
  <c r="Z122" i="19" s="1"/>
  <c r="Z336" i="19"/>
  <c r="Z308" i="19"/>
  <c r="D14" i="2"/>
  <c r="D45" i="4"/>
  <c r="D16" i="6"/>
  <c r="G23" i="1"/>
  <c r="Z94" i="19" l="1"/>
  <c r="Z197" i="19"/>
  <c r="K15" i="1"/>
  <c r="K21" i="1"/>
  <c r="K20" i="1"/>
  <c r="K19" i="1"/>
  <c r="K18" i="1"/>
  <c r="K16" i="1"/>
  <c r="K17" i="1"/>
  <c r="BA73" i="19"/>
  <c r="AO357" i="19"/>
  <c r="AO358" i="19" s="1"/>
  <c r="AO392" i="19" s="1"/>
  <c r="D36" i="7"/>
  <c r="D24" i="6"/>
  <c r="F16" i="6" s="1"/>
  <c r="H16" i="6" s="1"/>
  <c r="Z74" i="19"/>
  <c r="Z337" i="19"/>
  <c r="BA95" i="19"/>
  <c r="AO359" i="19"/>
  <c r="AO360" i="19" s="1"/>
  <c r="AO393" i="19" s="1"/>
  <c r="AS361" i="19"/>
  <c r="AS362" i="19" s="1"/>
  <c r="AS396" i="19" s="1"/>
  <c r="BA122" i="19"/>
  <c r="D53" i="4"/>
  <c r="F45" i="4" s="1"/>
  <c r="E58" i="5"/>
  <c r="AQ94" i="19"/>
  <c r="BA391" i="19"/>
  <c r="AQ337" i="19"/>
  <c r="BA337" i="19" s="1"/>
  <c r="AQ307" i="19"/>
  <c r="AQ74" i="19"/>
  <c r="AQ197" i="19"/>
  <c r="BA197" i="19" s="1"/>
  <c r="BA308" i="19"/>
  <c r="Z307" i="19"/>
  <c r="AG261" i="19"/>
  <c r="J267" i="19"/>
  <c r="R261" i="19"/>
  <c r="P261" i="19"/>
  <c r="T261" i="19"/>
  <c r="N261" i="19"/>
  <c r="X261" i="19"/>
  <c r="V261" i="19"/>
  <c r="L261" i="19"/>
  <c r="H14" i="2"/>
  <c r="D20" i="2"/>
  <c r="AS149" i="19" l="1"/>
  <c r="AS204" i="19"/>
  <c r="AS215" i="19"/>
  <c r="AS225" i="19"/>
  <c r="AS203" i="19"/>
  <c r="AS139" i="19"/>
  <c r="AS157" i="19"/>
  <c r="AS137" i="19"/>
  <c r="AS320" i="19"/>
  <c r="AS205" i="19"/>
  <c r="AS317" i="19"/>
  <c r="AS145" i="19"/>
  <c r="AS339" i="19"/>
  <c r="AS209" i="19"/>
  <c r="AS206" i="19"/>
  <c r="AS323" i="19"/>
  <c r="AS227" i="19"/>
  <c r="AS135" i="19"/>
  <c r="AS211" i="19"/>
  <c r="AS226" i="19"/>
  <c r="AS156" i="19"/>
  <c r="AS312" i="19"/>
  <c r="AS313" i="19"/>
  <c r="AS218" i="19"/>
  <c r="AS224" i="19"/>
  <c r="AS212" i="19"/>
  <c r="AS318" i="19"/>
  <c r="AS223" i="19"/>
  <c r="AS228" i="19"/>
  <c r="AS153" i="19"/>
  <c r="AS214" i="19"/>
  <c r="AS221" i="19"/>
  <c r="AS152" i="19"/>
  <c r="AS144" i="19"/>
  <c r="AS136" i="19"/>
  <c r="AS315" i="19"/>
  <c r="AS201" i="19"/>
  <c r="AS148" i="19"/>
  <c r="AS207" i="19"/>
  <c r="AS143" i="19"/>
  <c r="AS216" i="19"/>
  <c r="AS129" i="19"/>
  <c r="AS217" i="19"/>
  <c r="AS147" i="19"/>
  <c r="AS322" i="19"/>
  <c r="AS130" i="19"/>
  <c r="AS159" i="19"/>
  <c r="AS321" i="19"/>
  <c r="AS138" i="19"/>
  <c r="AS158" i="19"/>
  <c r="AS208" i="19"/>
  <c r="AS219" i="19"/>
  <c r="AS210" i="19"/>
  <c r="AS146" i="19"/>
  <c r="AS311" i="19"/>
  <c r="AS202" i="19"/>
  <c r="AS127" i="19"/>
  <c r="AS150" i="19"/>
  <c r="AS316" i="19"/>
  <c r="AS220" i="19"/>
  <c r="Z261" i="19"/>
  <c r="AU261" i="19"/>
  <c r="AI261" i="19"/>
  <c r="AK261" i="19"/>
  <c r="AQ261" i="19"/>
  <c r="AO261" i="19"/>
  <c r="AM261" i="19"/>
  <c r="AG267" i="19"/>
  <c r="AG270" i="19" s="1"/>
  <c r="AY261" i="19"/>
  <c r="AW261" i="19"/>
  <c r="AS261" i="19"/>
  <c r="F46" i="4"/>
  <c r="H46" i="4" s="1"/>
  <c r="F51" i="4"/>
  <c r="H51" i="4" s="1"/>
  <c r="R51" i="4" s="1"/>
  <c r="F50" i="4"/>
  <c r="H50" i="4" s="1"/>
  <c r="F49" i="4"/>
  <c r="H49" i="4" s="1"/>
  <c r="F48" i="4"/>
  <c r="H48" i="4" s="1"/>
  <c r="F47" i="4"/>
  <c r="H47" i="4" s="1"/>
  <c r="AO98" i="19"/>
  <c r="AO97" i="19"/>
  <c r="AO91" i="19"/>
  <c r="AO90" i="19"/>
  <c r="F21" i="6"/>
  <c r="H21" i="6" s="1"/>
  <c r="F22" i="6"/>
  <c r="H22" i="6" s="1"/>
  <c r="R22" i="6" s="1"/>
  <c r="F20" i="6"/>
  <c r="H20" i="6" s="1"/>
  <c r="F19" i="6"/>
  <c r="H19" i="6" s="1"/>
  <c r="F17" i="6"/>
  <c r="H17" i="6" s="1"/>
  <c r="F18" i="6"/>
  <c r="H18" i="6" s="1"/>
  <c r="E40" i="1"/>
  <c r="G40" i="1" s="1"/>
  <c r="P382" i="19"/>
  <c r="D19" i="4"/>
  <c r="F19" i="4" s="1"/>
  <c r="D22" i="4"/>
  <c r="F22" i="4" s="1"/>
  <c r="V382" i="19"/>
  <c r="AW382" i="19"/>
  <c r="E43" i="1"/>
  <c r="G43" i="1" s="1"/>
  <c r="H20" i="2"/>
  <c r="J14" i="2" s="1"/>
  <c r="D34" i="27"/>
  <c r="J270" i="19"/>
  <c r="I58" i="5"/>
  <c r="E64" i="5"/>
  <c r="E42" i="1"/>
  <c r="G42" i="1" s="1"/>
  <c r="T382" i="19"/>
  <c r="D21" i="4"/>
  <c r="F21" i="4" s="1"/>
  <c r="BA74" i="19"/>
  <c r="AQ357" i="19"/>
  <c r="AQ358" i="19" s="1"/>
  <c r="AQ392" i="19" s="1"/>
  <c r="BA94" i="19"/>
  <c r="AQ359" i="19"/>
  <c r="AQ360" i="19" s="1"/>
  <c r="AQ393" i="19" s="1"/>
  <c r="H36" i="7"/>
  <c r="D42" i="7"/>
  <c r="E39" i="1"/>
  <c r="G39" i="1" s="1"/>
  <c r="N382" i="19"/>
  <c r="D18" i="4"/>
  <c r="F18" i="4" s="1"/>
  <c r="D23" i="4"/>
  <c r="F23" i="4" s="1"/>
  <c r="P23" i="4" s="1"/>
  <c r="AY382" i="19"/>
  <c r="E44" i="1"/>
  <c r="G44" i="1" s="1"/>
  <c r="M44" i="1" s="1"/>
  <c r="X382" i="19"/>
  <c r="BA307" i="19"/>
  <c r="AO77" i="19"/>
  <c r="AO75" i="19"/>
  <c r="AO79" i="19"/>
  <c r="AO82" i="19"/>
  <c r="AO80" i="19"/>
  <c r="AO84" i="19"/>
  <c r="AO78" i="19"/>
  <c r="AO76" i="19"/>
  <c r="AO69" i="19"/>
  <c r="AO81" i="19"/>
  <c r="AO83" i="19"/>
  <c r="AO70" i="19"/>
  <c r="AO71" i="19"/>
  <c r="R382" i="19"/>
  <c r="D20" i="4"/>
  <c r="F20" i="4" s="1"/>
  <c r="E41" i="1"/>
  <c r="G41" i="1" s="1"/>
  <c r="L382" i="19"/>
  <c r="E38" i="1"/>
  <c r="D17" i="4"/>
  <c r="K23" i="1"/>
  <c r="H42" i="7" l="1"/>
  <c r="J36" i="7" s="1"/>
  <c r="AO102" i="19"/>
  <c r="AO86" i="19"/>
  <c r="H17" i="4"/>
  <c r="I38" i="1"/>
  <c r="K38" i="1" s="1"/>
  <c r="H45" i="4"/>
  <c r="F53" i="4"/>
  <c r="D22" i="8"/>
  <c r="F22" i="8" s="1"/>
  <c r="X383" i="19"/>
  <c r="S20" i="8"/>
  <c r="T20" i="8" s="1"/>
  <c r="AY383" i="19"/>
  <c r="N36" i="19"/>
  <c r="N134" i="19"/>
  <c r="N43" i="19"/>
  <c r="N26" i="19"/>
  <c r="N27" i="19"/>
  <c r="N37" i="19"/>
  <c r="N14" i="19"/>
  <c r="N172" i="19"/>
  <c r="N280" i="19"/>
  <c r="N15" i="19"/>
  <c r="AQ90" i="19"/>
  <c r="AQ97" i="19"/>
  <c r="AQ91" i="19"/>
  <c r="AQ98" i="19"/>
  <c r="I64" i="5"/>
  <c r="K58" i="5" s="1"/>
  <c r="J18" i="2"/>
  <c r="J17" i="2"/>
  <c r="J15" i="2"/>
  <c r="J16" i="2"/>
  <c r="S55" i="8"/>
  <c r="U16" i="8"/>
  <c r="P22" i="4"/>
  <c r="AY386" i="19"/>
  <c r="X386" i="19"/>
  <c r="J40" i="7"/>
  <c r="J20" i="6" s="1"/>
  <c r="L20" i="6" s="1"/>
  <c r="R20" i="6" s="1"/>
  <c r="T386" i="19" s="1"/>
  <c r="J39" i="7"/>
  <c r="J19" i="6" s="1"/>
  <c r="L19" i="6" s="1"/>
  <c r="R19" i="6" s="1"/>
  <c r="R386" i="19" s="1"/>
  <c r="J37" i="7"/>
  <c r="J17" i="6" s="1"/>
  <c r="L17" i="6" s="1"/>
  <c r="R17" i="6" s="1"/>
  <c r="N386" i="19" s="1"/>
  <c r="J38" i="7"/>
  <c r="J18" i="6" s="1"/>
  <c r="L18" i="6" s="1"/>
  <c r="R18" i="6" s="1"/>
  <c r="P386" i="19" s="1"/>
  <c r="F17" i="4"/>
  <c r="F25" i="4" s="1"/>
  <c r="D25" i="4"/>
  <c r="AY43" i="19"/>
  <c r="AY134" i="19"/>
  <c r="AY14" i="19"/>
  <c r="AY26" i="19"/>
  <c r="AY15" i="19"/>
  <c r="AY36" i="19"/>
  <c r="AY172" i="19"/>
  <c r="AY16" i="19"/>
  <c r="AY37" i="19"/>
  <c r="AY280" i="19"/>
  <c r="T172" i="19"/>
  <c r="T43" i="19"/>
  <c r="T27" i="19"/>
  <c r="T15" i="19"/>
  <c r="T14" i="19"/>
  <c r="T134" i="19"/>
  <c r="T280" i="19"/>
  <c r="T37" i="19"/>
  <c r="T26" i="19"/>
  <c r="T36" i="19"/>
  <c r="AW383" i="19"/>
  <c r="M43" i="1"/>
  <c r="S16" i="8"/>
  <c r="AI386" i="19"/>
  <c r="R21" i="6"/>
  <c r="BA261" i="19"/>
  <c r="AS367" i="19"/>
  <c r="AS368" i="19" s="1"/>
  <c r="AS399" i="19" s="1"/>
  <c r="L280" i="19"/>
  <c r="L36" i="19"/>
  <c r="L15" i="19"/>
  <c r="L37" i="19"/>
  <c r="L14" i="19"/>
  <c r="L43" i="19"/>
  <c r="L26" i="19"/>
  <c r="L27" i="19"/>
  <c r="L172" i="19"/>
  <c r="L134" i="19"/>
  <c r="Z382" i="19"/>
  <c r="AA382" i="19" s="1"/>
  <c r="AS365" i="19"/>
  <c r="AS366" i="19" s="1"/>
  <c r="AS398" i="19" s="1"/>
  <c r="G38" i="1"/>
  <c r="E46" i="1"/>
  <c r="R27" i="19"/>
  <c r="R37" i="19"/>
  <c r="R43" i="19"/>
  <c r="R26" i="19"/>
  <c r="R36" i="19"/>
  <c r="R15" i="19"/>
  <c r="R134" i="19"/>
  <c r="R280" i="19"/>
  <c r="R14" i="19"/>
  <c r="R172" i="19"/>
  <c r="S59" i="8"/>
  <c r="T59" i="8" s="1"/>
  <c r="H22" i="8"/>
  <c r="J22" i="8" s="1"/>
  <c r="U20" i="8"/>
  <c r="V20" i="8" s="1"/>
  <c r="X384" i="19"/>
  <c r="F62" i="8"/>
  <c r="H62" i="8" s="1"/>
  <c r="AQ78" i="19"/>
  <c r="AQ69" i="19"/>
  <c r="AQ83" i="19"/>
  <c r="AQ75" i="19"/>
  <c r="AQ71" i="19"/>
  <c r="AQ77" i="19"/>
  <c r="AQ80" i="19"/>
  <c r="AQ79" i="19"/>
  <c r="AQ70" i="19"/>
  <c r="AQ76" i="19"/>
  <c r="AQ82" i="19"/>
  <c r="AQ84" i="19"/>
  <c r="AQ81" i="19"/>
  <c r="H34" i="27"/>
  <c r="AW36" i="19"/>
  <c r="AW280" i="19"/>
  <c r="AI382" i="19"/>
  <c r="AW14" i="19"/>
  <c r="AW37" i="19"/>
  <c r="AW16" i="19"/>
  <c r="AW43" i="19"/>
  <c r="AW26" i="19"/>
  <c r="AW172" i="19"/>
  <c r="AW134" i="19"/>
  <c r="AW15" i="19"/>
  <c r="P172" i="19"/>
  <c r="P43" i="19"/>
  <c r="P134" i="19"/>
  <c r="P280" i="19"/>
  <c r="P15" i="19"/>
  <c r="P37" i="19"/>
  <c r="P14" i="19"/>
  <c r="P27" i="19"/>
  <c r="P26" i="19"/>
  <c r="P36" i="19"/>
  <c r="F24" i="6"/>
  <c r="U55" i="8"/>
  <c r="R50" i="4"/>
  <c r="AI385" i="19"/>
  <c r="W16" i="8"/>
  <c r="X14" i="19"/>
  <c r="X134" i="19"/>
  <c r="X26" i="19"/>
  <c r="X43" i="19"/>
  <c r="X280" i="19"/>
  <c r="X37" i="19"/>
  <c r="X172" i="19"/>
  <c r="X36" i="19"/>
  <c r="X15" i="19"/>
  <c r="X27" i="19"/>
  <c r="V280" i="19"/>
  <c r="V36" i="19"/>
  <c r="V27" i="19"/>
  <c r="V134" i="19"/>
  <c r="V43" i="19"/>
  <c r="V172" i="19"/>
  <c r="V26" i="19"/>
  <c r="V29" i="19" s="1"/>
  <c r="V37" i="19"/>
  <c r="V15" i="19"/>
  <c r="V14" i="19"/>
  <c r="J62" i="8"/>
  <c r="L62" i="8" s="1"/>
  <c r="W20" i="8"/>
  <c r="X20" i="8" s="1"/>
  <c r="U59" i="8"/>
  <c r="V59" i="8" s="1"/>
  <c r="AY385" i="19"/>
  <c r="L22" i="8"/>
  <c r="N22" i="8" s="1"/>
  <c r="X385" i="19"/>
  <c r="P22" i="8" l="1"/>
  <c r="X387" i="19" s="1"/>
  <c r="X178" i="19" s="1"/>
  <c r="P29" i="19"/>
  <c r="T29" i="19"/>
  <c r="AO104" i="19"/>
  <c r="AO361" i="19" s="1"/>
  <c r="AO362" i="19" s="1"/>
  <c r="AO396" i="19" s="1"/>
  <c r="AO221" i="19" s="1"/>
  <c r="J45" i="4"/>
  <c r="L45" i="4" s="1"/>
  <c r="X181" i="19"/>
  <c r="X287" i="19"/>
  <c r="X289" i="19"/>
  <c r="X285" i="19"/>
  <c r="J61" i="8"/>
  <c r="L61" i="8" s="1"/>
  <c r="U58" i="8"/>
  <c r="V58" i="8" s="1"/>
  <c r="V385" i="19"/>
  <c r="AW385" i="19"/>
  <c r="L21" i="8"/>
  <c r="N21" i="8" s="1"/>
  <c r="W19" i="8"/>
  <c r="X19" i="8" s="1"/>
  <c r="R29" i="19"/>
  <c r="L29" i="19"/>
  <c r="Z26" i="19"/>
  <c r="Z15" i="19"/>
  <c r="S19" i="8"/>
  <c r="T19" i="8" s="1"/>
  <c r="D21" i="8"/>
  <c r="F21" i="8" s="1"/>
  <c r="V383" i="19"/>
  <c r="T343" i="19"/>
  <c r="T334" i="19"/>
  <c r="T333" i="19"/>
  <c r="T92" i="19"/>
  <c r="T299" i="19"/>
  <c r="T189" i="19"/>
  <c r="T99" i="19"/>
  <c r="S58" i="8"/>
  <c r="T58" i="8" s="1"/>
  <c r="F61" i="8"/>
  <c r="H61" i="8" s="1"/>
  <c r="U19" i="8"/>
  <c r="V19" i="8" s="1"/>
  <c r="V384" i="19"/>
  <c r="H21" i="8"/>
  <c r="J21" i="8" s="1"/>
  <c r="I39" i="1"/>
  <c r="K39" i="1" s="1"/>
  <c r="M39" i="1" s="1"/>
  <c r="H18" i="4"/>
  <c r="J18" i="4" s="1"/>
  <c r="P18" i="4" s="1"/>
  <c r="N29" i="19"/>
  <c r="AY41" i="19"/>
  <c r="AY295" i="19"/>
  <c r="AY59" i="19"/>
  <c r="AY38" i="19"/>
  <c r="AY171" i="19"/>
  <c r="AY283" i="19"/>
  <c r="AY281" i="19"/>
  <c r="AY42" i="19"/>
  <c r="AY34" i="19"/>
  <c r="AY293" i="19"/>
  <c r="AY21" i="19"/>
  <c r="AY46" i="19"/>
  <c r="AY27" i="19"/>
  <c r="AY29" i="19" s="1"/>
  <c r="AY186" i="19"/>
  <c r="AY319" i="19"/>
  <c r="AY60" i="19"/>
  <c r="AY44" i="19"/>
  <c r="AY176" i="19"/>
  <c r="AY18" i="19"/>
  <c r="AY39" i="19"/>
  <c r="AY331" i="19"/>
  <c r="AY294" i="19"/>
  <c r="AY35" i="19"/>
  <c r="AY47" i="19"/>
  <c r="AY282" i="19"/>
  <c r="AY279" i="19"/>
  <c r="AY175" i="19"/>
  <c r="AY17" i="19"/>
  <c r="AY222" i="19"/>
  <c r="AY52" i="19"/>
  <c r="AY58" i="19"/>
  <c r="AY61" i="19"/>
  <c r="AY174" i="19"/>
  <c r="AY291" i="19"/>
  <c r="AY51" i="19"/>
  <c r="AY278" i="19"/>
  <c r="AY173" i="19"/>
  <c r="AY184" i="19"/>
  <c r="AY48" i="19"/>
  <c r="AY19" i="19"/>
  <c r="AY40" i="19"/>
  <c r="AY292" i="19"/>
  <c r="AY45" i="19"/>
  <c r="AY185" i="19"/>
  <c r="AY57" i="19"/>
  <c r="AY344" i="19"/>
  <c r="AY49" i="19"/>
  <c r="AY50" i="19"/>
  <c r="AY170" i="19"/>
  <c r="AY20" i="19"/>
  <c r="J17" i="4"/>
  <c r="AY191" i="19"/>
  <c r="AY301" i="19"/>
  <c r="AY193" i="19"/>
  <c r="AY194" i="19"/>
  <c r="AY304" i="19"/>
  <c r="AY303" i="19"/>
  <c r="V55" i="8"/>
  <c r="V61" i="8" s="1"/>
  <c r="N62" i="8"/>
  <c r="X388" i="19" s="1"/>
  <c r="Y59" i="8"/>
  <c r="AY388" i="19" s="1"/>
  <c r="G46" i="1"/>
  <c r="Z134" i="19"/>
  <c r="Z43" i="19"/>
  <c r="Z36" i="19"/>
  <c r="AW386" i="19"/>
  <c r="V386" i="19"/>
  <c r="AW19" i="19"/>
  <c r="AW279" i="19"/>
  <c r="AW295" i="19"/>
  <c r="AW51" i="19"/>
  <c r="AW281" i="19"/>
  <c r="AW184" i="19"/>
  <c r="AW17" i="19"/>
  <c r="AW331" i="19"/>
  <c r="AW278" i="19"/>
  <c r="AW52" i="19"/>
  <c r="AW293" i="19"/>
  <c r="AW294" i="19"/>
  <c r="AI383" i="19"/>
  <c r="AW47" i="19"/>
  <c r="AW35" i="19"/>
  <c r="AW42" i="19"/>
  <c r="AW59" i="19"/>
  <c r="AW61" i="19"/>
  <c r="AW319" i="19"/>
  <c r="AW58" i="19"/>
  <c r="AW222" i="19"/>
  <c r="AW171" i="19"/>
  <c r="AW39" i="19"/>
  <c r="AW186" i="19"/>
  <c r="AW174" i="19"/>
  <c r="AW21" i="19"/>
  <c r="AW48" i="19"/>
  <c r="AW291" i="19"/>
  <c r="AW173" i="19"/>
  <c r="AW60" i="19"/>
  <c r="AW292" i="19"/>
  <c r="AW175" i="19"/>
  <c r="AW40" i="19"/>
  <c r="AW50" i="19"/>
  <c r="AW185" i="19"/>
  <c r="AW44" i="19"/>
  <c r="AW170" i="19"/>
  <c r="AW283" i="19"/>
  <c r="AW27" i="19"/>
  <c r="AW29" i="19" s="1"/>
  <c r="AW49" i="19"/>
  <c r="AW57" i="19"/>
  <c r="AW18" i="19"/>
  <c r="AW46" i="19"/>
  <c r="AW38" i="19"/>
  <c r="AW20" i="19"/>
  <c r="AW41" i="19"/>
  <c r="AW344" i="19"/>
  <c r="AW34" i="19"/>
  <c r="AW45" i="19"/>
  <c r="AW176" i="19"/>
  <c r="AW282" i="19"/>
  <c r="P92" i="19"/>
  <c r="P99" i="19"/>
  <c r="P333" i="19"/>
  <c r="P334" i="19"/>
  <c r="P299" i="19"/>
  <c r="P189" i="19"/>
  <c r="P343" i="19"/>
  <c r="J16" i="6"/>
  <c r="L16" i="6" s="1"/>
  <c r="J42" i="7"/>
  <c r="V16" i="8"/>
  <c r="V22" i="8" s="1"/>
  <c r="U22" i="8"/>
  <c r="H20" i="4"/>
  <c r="J20" i="4" s="1"/>
  <c r="P20" i="4" s="1"/>
  <c r="I41" i="1"/>
  <c r="K41" i="1" s="1"/>
  <c r="M41" i="1" s="1"/>
  <c r="K62" i="5"/>
  <c r="J49" i="4" s="1"/>
  <c r="L49" i="4" s="1"/>
  <c r="R49" i="4" s="1"/>
  <c r="K61" i="5"/>
  <c r="J48" i="4" s="1"/>
  <c r="L48" i="4" s="1"/>
  <c r="R48" i="4" s="1"/>
  <c r="K59" i="5"/>
  <c r="J46" i="4" s="1"/>
  <c r="L46" i="4" s="1"/>
  <c r="R46" i="4" s="1"/>
  <c r="K60" i="5"/>
  <c r="J47" i="4" s="1"/>
  <c r="L47" i="4" s="1"/>
  <c r="R47" i="4" s="1"/>
  <c r="AQ102" i="19"/>
  <c r="Y20" i="8"/>
  <c r="AY387" i="19" s="1"/>
  <c r="H53" i="4"/>
  <c r="X193" i="19"/>
  <c r="X304" i="19"/>
  <c r="X303" i="19"/>
  <c r="X194" i="19"/>
  <c r="X191" i="19"/>
  <c r="X301" i="19"/>
  <c r="X29" i="19"/>
  <c r="X16" i="8"/>
  <c r="BA382" i="19"/>
  <c r="AI134" i="19"/>
  <c r="BA134" i="19" s="1"/>
  <c r="AI43" i="19"/>
  <c r="BA43" i="19" s="1"/>
  <c r="AI15" i="19"/>
  <c r="BA15" i="19" s="1"/>
  <c r="AI26" i="19"/>
  <c r="AI16" i="19"/>
  <c r="BA16" i="19" s="1"/>
  <c r="AI280" i="19"/>
  <c r="BA280" i="19" s="1"/>
  <c r="AI172" i="19"/>
  <c r="BA172" i="19" s="1"/>
  <c r="AI14" i="19"/>
  <c r="AI36" i="19"/>
  <c r="BA36" i="19" s="1"/>
  <c r="AI37" i="19"/>
  <c r="BA37" i="19" s="1"/>
  <c r="L34" i="27"/>
  <c r="H36" i="27"/>
  <c r="X195" i="19"/>
  <c r="X302" i="19"/>
  <c r="X196" i="19"/>
  <c r="X332" i="19"/>
  <c r="X306" i="19"/>
  <c r="X305" i="19"/>
  <c r="X192" i="19"/>
  <c r="Z172" i="19"/>
  <c r="Z14" i="19"/>
  <c r="Z280" i="19"/>
  <c r="AI334" i="19"/>
  <c r="AI92" i="19"/>
  <c r="AI189" i="19"/>
  <c r="AI333" i="19"/>
  <c r="AI299" i="19"/>
  <c r="BA386" i="19"/>
  <c r="AI343" i="19"/>
  <c r="AI99" i="19"/>
  <c r="N334" i="19"/>
  <c r="N189" i="19"/>
  <c r="N299" i="19"/>
  <c r="N343" i="19"/>
  <c r="N333" i="19"/>
  <c r="N99" i="19"/>
  <c r="N92" i="19"/>
  <c r="X299" i="19"/>
  <c r="X99" i="19"/>
  <c r="X92" i="19"/>
  <c r="X334" i="19"/>
  <c r="X343" i="19"/>
  <c r="X333" i="19"/>
  <c r="X189" i="19"/>
  <c r="T55" i="8"/>
  <c r="S61" i="8"/>
  <c r="H21" i="4"/>
  <c r="J21" i="4" s="1"/>
  <c r="P21" i="4" s="1"/>
  <c r="I42" i="1"/>
  <c r="K42" i="1" s="1"/>
  <c r="M42" i="1" s="1"/>
  <c r="X19" i="19"/>
  <c r="X38" i="19"/>
  <c r="X174" i="19"/>
  <c r="X279" i="19"/>
  <c r="X40" i="19"/>
  <c r="X331" i="19"/>
  <c r="X186" i="19"/>
  <c r="X295" i="19"/>
  <c r="X176" i="19"/>
  <c r="X173" i="19"/>
  <c r="X47" i="19"/>
  <c r="X21" i="19"/>
  <c r="X45" i="19"/>
  <c r="X185" i="19"/>
  <c r="X49" i="19"/>
  <c r="X222" i="19"/>
  <c r="X59" i="19"/>
  <c r="X16" i="19"/>
  <c r="X171" i="19"/>
  <c r="X42" i="19"/>
  <c r="X291" i="19"/>
  <c r="X292" i="19"/>
  <c r="X41" i="19"/>
  <c r="X46" i="19"/>
  <c r="X57" i="19"/>
  <c r="X61" i="19"/>
  <c r="X282" i="19"/>
  <c r="X51" i="19"/>
  <c r="X294" i="19"/>
  <c r="X58" i="19"/>
  <c r="X52" i="19"/>
  <c r="X293" i="19"/>
  <c r="X18" i="19"/>
  <c r="X319" i="19"/>
  <c r="X60" i="19"/>
  <c r="X283" i="19"/>
  <c r="X35" i="19"/>
  <c r="X44" i="19"/>
  <c r="X281" i="19"/>
  <c r="X17" i="19"/>
  <c r="X39" i="19"/>
  <c r="X48" i="19"/>
  <c r="X34" i="19"/>
  <c r="X344" i="19"/>
  <c r="X184" i="19"/>
  <c r="X50" i="19"/>
  <c r="X170" i="19"/>
  <c r="X20" i="19"/>
  <c r="X278" i="19"/>
  <c r="X175" i="19"/>
  <c r="J20" i="2"/>
  <c r="AI194" i="19"/>
  <c r="AI191" i="19"/>
  <c r="AI301" i="19"/>
  <c r="AI304" i="19"/>
  <c r="AI193" i="19"/>
  <c r="AI303" i="19"/>
  <c r="BA385" i="19"/>
  <c r="H24" i="6"/>
  <c r="AQ86" i="19"/>
  <c r="AS133" i="19"/>
  <c r="AS140" i="19"/>
  <c r="AS154" i="19"/>
  <c r="AS141" i="19"/>
  <c r="AS241" i="19"/>
  <c r="AS155" i="19"/>
  <c r="Z27" i="19"/>
  <c r="Z37" i="19"/>
  <c r="AS276" i="19"/>
  <c r="AS275" i="19"/>
  <c r="AS277" i="19"/>
  <c r="AS341" i="19"/>
  <c r="AS229" i="19"/>
  <c r="AS274" i="19"/>
  <c r="AS169" i="19"/>
  <c r="AS345" i="19"/>
  <c r="AS330" i="19"/>
  <c r="AS342" i="19"/>
  <c r="T16" i="8"/>
  <c r="S22" i="8"/>
  <c r="R333" i="19"/>
  <c r="R189" i="19"/>
  <c r="R299" i="19"/>
  <c r="R99" i="19"/>
  <c r="R92" i="19"/>
  <c r="R334" i="19"/>
  <c r="R343" i="19"/>
  <c r="AY92" i="19"/>
  <c r="AY99" i="19"/>
  <c r="AY189" i="19"/>
  <c r="AY334" i="19"/>
  <c r="AY333" i="19"/>
  <c r="AY343" i="19"/>
  <c r="AY299" i="19"/>
  <c r="H19" i="4"/>
  <c r="J19" i="4" s="1"/>
  <c r="P19" i="4" s="1"/>
  <c r="I40" i="1"/>
  <c r="K40" i="1" s="1"/>
  <c r="M40" i="1" s="1"/>
  <c r="X290" i="19" l="1"/>
  <c r="X183" i="19"/>
  <c r="X177" i="19"/>
  <c r="X288" i="19"/>
  <c r="X179" i="19"/>
  <c r="AO226" i="19"/>
  <c r="AO158" i="19"/>
  <c r="AO157" i="19"/>
  <c r="AO207" i="19"/>
  <c r="AO311" i="19"/>
  <c r="AO153" i="19"/>
  <c r="AO139" i="19"/>
  <c r="AO323" i="19"/>
  <c r="AO146" i="19"/>
  <c r="AO219" i="19"/>
  <c r="W22" i="8"/>
  <c r="X22" i="8"/>
  <c r="AO204" i="19"/>
  <c r="AO228" i="19"/>
  <c r="AO339" i="19"/>
  <c r="AO206" i="19"/>
  <c r="U61" i="8"/>
  <c r="X284" i="19"/>
  <c r="X286" i="19"/>
  <c r="X180" i="19"/>
  <c r="X335" i="19"/>
  <c r="X182" i="19"/>
  <c r="AO145" i="19"/>
  <c r="AO220" i="19"/>
  <c r="AO144" i="19"/>
  <c r="AO129" i="19"/>
  <c r="AO322" i="19"/>
  <c r="AO201" i="19"/>
  <c r="AO313" i="19"/>
  <c r="AO312" i="19"/>
  <c r="AO152" i="19"/>
  <c r="AO148" i="19"/>
  <c r="AO156" i="19"/>
  <c r="AO218" i="19"/>
  <c r="AO203" i="19"/>
  <c r="AO149" i="19"/>
  <c r="AO136" i="19"/>
  <c r="AO209" i="19"/>
  <c r="AO143" i="19"/>
  <c r="AO150" i="19"/>
  <c r="AO135" i="19"/>
  <c r="AO217" i="19"/>
  <c r="AO216" i="19"/>
  <c r="AO210" i="19"/>
  <c r="AO202" i="19"/>
  <c r="AO205" i="19"/>
  <c r="AO223" i="19"/>
  <c r="AO321" i="19"/>
  <c r="AO147" i="19"/>
  <c r="AO208" i="19"/>
  <c r="AO318" i="19"/>
  <c r="AO137" i="19"/>
  <c r="AO317" i="19"/>
  <c r="AO138" i="19"/>
  <c r="AO127" i="19"/>
  <c r="AO315" i="19"/>
  <c r="AO130" i="19"/>
  <c r="AO225" i="19"/>
  <c r="AO224" i="19"/>
  <c r="N61" i="8"/>
  <c r="V388" i="19" s="1"/>
  <c r="V296" i="19" s="1"/>
  <c r="AO215" i="19"/>
  <c r="AO316" i="19"/>
  <c r="AO212" i="19"/>
  <c r="AO214" i="19"/>
  <c r="AO227" i="19"/>
  <c r="AO320" i="19"/>
  <c r="AO211" i="19"/>
  <c r="AO159" i="19"/>
  <c r="I46" i="1"/>
  <c r="X23" i="19"/>
  <c r="AS231" i="19"/>
  <c r="AY23" i="19"/>
  <c r="AW23" i="19"/>
  <c r="X54" i="19"/>
  <c r="AW63" i="19"/>
  <c r="AY63" i="19"/>
  <c r="Y58" i="8"/>
  <c r="AW388" i="19" s="1"/>
  <c r="P383" i="19"/>
  <c r="D18" i="8"/>
  <c r="F18" i="8" s="1"/>
  <c r="AS363" i="19"/>
  <c r="AS364" i="19" s="1"/>
  <c r="T383" i="19"/>
  <c r="D20" i="8"/>
  <c r="F20" i="8" s="1"/>
  <c r="J58" i="8"/>
  <c r="L58" i="8" s="1"/>
  <c r="L18" i="8"/>
  <c r="N18" i="8" s="1"/>
  <c r="P385" i="19"/>
  <c r="AI45" i="19"/>
  <c r="BA45" i="19" s="1"/>
  <c r="AI295" i="19"/>
  <c r="BA295" i="19" s="1"/>
  <c r="AI34" i="19"/>
  <c r="AI51" i="19"/>
  <c r="BA51" i="19" s="1"/>
  <c r="BA383" i="19"/>
  <c r="AI60" i="19"/>
  <c r="BA60" i="19" s="1"/>
  <c r="AI291" i="19"/>
  <c r="BA291" i="19" s="1"/>
  <c r="AI52" i="19"/>
  <c r="BA52" i="19" s="1"/>
  <c r="AI59" i="19"/>
  <c r="BA59" i="19" s="1"/>
  <c r="AI57" i="19"/>
  <c r="AI184" i="19"/>
  <c r="BA184" i="19" s="1"/>
  <c r="AI46" i="19"/>
  <c r="BA46" i="19" s="1"/>
  <c r="AI294" i="19"/>
  <c r="BA294" i="19" s="1"/>
  <c r="AI27" i="19"/>
  <c r="BA27" i="19" s="1"/>
  <c r="AI19" i="19"/>
  <c r="BA19" i="19" s="1"/>
  <c r="AI185" i="19"/>
  <c r="BA185" i="19" s="1"/>
  <c r="AI39" i="19"/>
  <c r="BA39" i="19" s="1"/>
  <c r="AI176" i="19"/>
  <c r="BA176" i="19" s="1"/>
  <c r="AI282" i="19"/>
  <c r="BA282" i="19" s="1"/>
  <c r="AI20" i="19"/>
  <c r="BA20" i="19" s="1"/>
  <c r="AI170" i="19"/>
  <c r="BA170" i="19" s="1"/>
  <c r="AI58" i="19"/>
  <c r="BA58" i="19" s="1"/>
  <c r="AI171" i="19"/>
  <c r="BA171" i="19" s="1"/>
  <c r="AI40" i="19"/>
  <c r="BA40" i="19" s="1"/>
  <c r="AI175" i="19"/>
  <c r="BA175" i="19" s="1"/>
  <c r="AI41" i="19"/>
  <c r="BA41" i="19" s="1"/>
  <c r="AI281" i="19"/>
  <c r="BA281" i="19" s="1"/>
  <c r="AI49" i="19"/>
  <c r="BA49" i="19" s="1"/>
  <c r="AI50" i="19"/>
  <c r="BA50" i="19" s="1"/>
  <c r="AI44" i="19"/>
  <c r="BA44" i="19" s="1"/>
  <c r="AI47" i="19"/>
  <c r="BA47" i="19" s="1"/>
  <c r="AI278" i="19"/>
  <c r="AI331" i="19"/>
  <c r="BA331" i="19" s="1"/>
  <c r="AI344" i="19"/>
  <c r="BA344" i="19" s="1"/>
  <c r="AI38" i="19"/>
  <c r="BA38" i="19" s="1"/>
  <c r="AI18" i="19"/>
  <c r="BA18" i="19" s="1"/>
  <c r="AI48" i="19"/>
  <c r="BA48" i="19" s="1"/>
  <c r="AI319" i="19"/>
  <c r="BA319" i="19" s="1"/>
  <c r="AI174" i="19"/>
  <c r="BA174" i="19" s="1"/>
  <c r="AI292" i="19"/>
  <c r="BA292" i="19" s="1"/>
  <c r="AI17" i="19"/>
  <c r="BA17" i="19" s="1"/>
  <c r="AI42" i="19"/>
  <c r="BA42" i="19" s="1"/>
  <c r="AI186" i="19"/>
  <c r="BA186" i="19" s="1"/>
  <c r="AI222" i="19"/>
  <c r="BA222" i="19" s="1"/>
  <c r="AI279" i="19"/>
  <c r="BA279" i="19" s="1"/>
  <c r="AI173" i="19"/>
  <c r="BA173" i="19" s="1"/>
  <c r="AI61" i="19"/>
  <c r="BA61" i="19" s="1"/>
  <c r="AI21" i="19"/>
  <c r="BA21" i="19" s="1"/>
  <c r="AI293" i="19"/>
  <c r="BA293" i="19" s="1"/>
  <c r="AI283" i="19"/>
  <c r="BA283" i="19" s="1"/>
  <c r="AI35" i="19"/>
  <c r="BA35" i="19" s="1"/>
  <c r="AY54" i="19"/>
  <c r="AW100" i="19"/>
  <c r="AW187" i="19"/>
  <c r="AW72" i="19"/>
  <c r="AW357" i="19" s="1"/>
  <c r="AW358" i="19" s="1"/>
  <c r="AW392" i="19" s="1"/>
  <c r="AW188" i="19"/>
  <c r="AW298" i="19"/>
  <c r="AW297" i="19"/>
  <c r="AW296" i="19"/>
  <c r="AW262" i="19"/>
  <c r="AW93" i="19"/>
  <c r="F58" i="8"/>
  <c r="H58" i="8" s="1"/>
  <c r="P384" i="19"/>
  <c r="H18" i="8"/>
  <c r="J18" i="8" s="1"/>
  <c r="F60" i="8"/>
  <c r="H60" i="8" s="1"/>
  <c r="T384" i="19"/>
  <c r="H20" i="8"/>
  <c r="J20" i="8" s="1"/>
  <c r="BA14" i="19"/>
  <c r="BA26" i="19"/>
  <c r="AY183" i="19"/>
  <c r="AY177" i="19"/>
  <c r="AY179" i="19"/>
  <c r="AY286" i="19"/>
  <c r="AY181" i="19"/>
  <c r="AY182" i="19"/>
  <c r="AY290" i="19"/>
  <c r="AY335" i="19"/>
  <c r="AY285" i="19"/>
  <c r="AY287" i="19"/>
  <c r="AY289" i="19"/>
  <c r="AY284" i="19"/>
  <c r="AY288" i="19"/>
  <c r="AY178" i="19"/>
  <c r="AY180" i="19"/>
  <c r="N385" i="19"/>
  <c r="J57" i="8"/>
  <c r="L57" i="8" s="1"/>
  <c r="L17" i="8"/>
  <c r="N17" i="8" s="1"/>
  <c r="D19" i="8"/>
  <c r="F19" i="8" s="1"/>
  <c r="R383" i="19"/>
  <c r="AW54" i="19"/>
  <c r="V92" i="19"/>
  <c r="V334" i="19"/>
  <c r="V343" i="19"/>
  <c r="V333" i="19"/>
  <c r="V299" i="19"/>
  <c r="V189" i="19"/>
  <c r="V99" i="19"/>
  <c r="AY93" i="19"/>
  <c r="AY100" i="19"/>
  <c r="AY296" i="19"/>
  <c r="AY72" i="19"/>
  <c r="AY357" i="19" s="1"/>
  <c r="AY358" i="19" s="1"/>
  <c r="AY262" i="19"/>
  <c r="AY187" i="19"/>
  <c r="AY298" i="19"/>
  <c r="AY188" i="19"/>
  <c r="AY297" i="19"/>
  <c r="H25" i="4"/>
  <c r="V195" i="19"/>
  <c r="V192" i="19"/>
  <c r="V332" i="19"/>
  <c r="V196" i="19"/>
  <c r="V305" i="19"/>
  <c r="V306" i="19"/>
  <c r="V302" i="19"/>
  <c r="V19" i="19"/>
  <c r="V20" i="19"/>
  <c r="V281" i="19"/>
  <c r="V171" i="19"/>
  <c r="V44" i="19"/>
  <c r="V173" i="19"/>
  <c r="V291" i="19"/>
  <c r="V47" i="19"/>
  <c r="V46" i="19"/>
  <c r="V61" i="19"/>
  <c r="V60" i="19"/>
  <c r="V294" i="19"/>
  <c r="V184" i="19"/>
  <c r="V18" i="19"/>
  <c r="V50" i="19"/>
  <c r="V331" i="19"/>
  <c r="V39" i="19"/>
  <c r="V186" i="19"/>
  <c r="V278" i="19"/>
  <c r="V344" i="19"/>
  <c r="V174" i="19"/>
  <c r="V282" i="19"/>
  <c r="V185" i="19"/>
  <c r="V40" i="19"/>
  <c r="V59" i="19"/>
  <c r="V21" i="19"/>
  <c r="V35" i="19"/>
  <c r="V38" i="19"/>
  <c r="V41" i="19"/>
  <c r="V292" i="19"/>
  <c r="V175" i="19"/>
  <c r="V48" i="19"/>
  <c r="V45" i="19"/>
  <c r="V17" i="19"/>
  <c r="V170" i="19"/>
  <c r="V293" i="19"/>
  <c r="V222" i="19"/>
  <c r="V52" i="19"/>
  <c r="V16" i="19"/>
  <c r="V279" i="19"/>
  <c r="V58" i="19"/>
  <c r="V295" i="19"/>
  <c r="V283" i="19"/>
  <c r="V49" i="19"/>
  <c r="V42" i="19"/>
  <c r="V319" i="19"/>
  <c r="V51" i="19"/>
  <c r="V57" i="19"/>
  <c r="V34" i="19"/>
  <c r="V176" i="19"/>
  <c r="P21" i="8"/>
  <c r="V387" i="19" s="1"/>
  <c r="AO365" i="19"/>
  <c r="AO366" i="19" s="1"/>
  <c r="AO398" i="19" s="1"/>
  <c r="Y16" i="8"/>
  <c r="T22" i="8"/>
  <c r="P34" i="27"/>
  <c r="R34" i="27" s="1"/>
  <c r="J59" i="8"/>
  <c r="L59" i="8" s="1"/>
  <c r="L19" i="8"/>
  <c r="N19" i="8" s="1"/>
  <c r="R385" i="19"/>
  <c r="R384" i="19"/>
  <c r="F59" i="8"/>
  <c r="H59" i="8" s="1"/>
  <c r="H19" i="8"/>
  <c r="J19" i="8" s="1"/>
  <c r="J24" i="6"/>
  <c r="X188" i="19"/>
  <c r="X262" i="19"/>
  <c r="X297" i="19"/>
  <c r="X298" i="19"/>
  <c r="X187" i="19"/>
  <c r="X296" i="19"/>
  <c r="X100" i="19"/>
  <c r="X72" i="19"/>
  <c r="X357" i="19" s="1"/>
  <c r="X93" i="19"/>
  <c r="P17" i="4"/>
  <c r="J25" i="4"/>
  <c r="F57" i="8"/>
  <c r="H57" i="8" s="1"/>
  <c r="N384" i="19"/>
  <c r="H17" i="8"/>
  <c r="J17" i="8" s="1"/>
  <c r="Z29" i="19"/>
  <c r="AW304" i="19"/>
  <c r="BA304" i="19" s="1"/>
  <c r="AW303" i="19"/>
  <c r="BA303" i="19" s="1"/>
  <c r="AW193" i="19"/>
  <c r="BA193" i="19" s="1"/>
  <c r="AW301" i="19"/>
  <c r="BA301" i="19" s="1"/>
  <c r="AW194" i="19"/>
  <c r="BA194" i="19" s="1"/>
  <c r="AW191" i="19"/>
  <c r="BA191" i="19" s="1"/>
  <c r="K64" i="5"/>
  <c r="K46" i="1"/>
  <c r="X63" i="19"/>
  <c r="T61" i="8"/>
  <c r="Y55" i="8"/>
  <c r="AQ104" i="19"/>
  <c r="L20" i="8"/>
  <c r="N20" i="8" s="1"/>
  <c r="T385" i="19"/>
  <c r="J60" i="8"/>
  <c r="L60" i="8" s="1"/>
  <c r="AW92" i="19"/>
  <c r="AW334" i="19"/>
  <c r="BA334" i="19" s="1"/>
  <c r="AW333" i="19"/>
  <c r="BA333" i="19" s="1"/>
  <c r="AW299" i="19"/>
  <c r="BA299" i="19" s="1"/>
  <c r="AW343" i="19"/>
  <c r="BA343" i="19" s="1"/>
  <c r="AW189" i="19"/>
  <c r="BA189" i="19" s="1"/>
  <c r="AW99" i="19"/>
  <c r="BA99" i="19" s="1"/>
  <c r="M38" i="1"/>
  <c r="N383" i="19"/>
  <c r="D17" i="8"/>
  <c r="F17" i="8" s="1"/>
  <c r="Y19" i="8"/>
  <c r="AW387" i="19" s="1"/>
  <c r="V193" i="19"/>
  <c r="V301" i="19"/>
  <c r="V304" i="19"/>
  <c r="V303" i="19"/>
  <c r="V191" i="19"/>
  <c r="V194" i="19"/>
  <c r="J53" i="4"/>
  <c r="V187" i="19" l="1"/>
  <c r="V72" i="19"/>
  <c r="V357" i="19" s="1"/>
  <c r="V100" i="19"/>
  <c r="V297" i="19"/>
  <c r="V262" i="19"/>
  <c r="V188" i="19"/>
  <c r="V298" i="19"/>
  <c r="V93" i="19"/>
  <c r="P20" i="8"/>
  <c r="T387" i="19" s="1"/>
  <c r="X65" i="19"/>
  <c r="AO367" i="19"/>
  <c r="AO368" i="19" s="1"/>
  <c r="AO399" i="19" s="1"/>
  <c r="AO345" i="19" s="1"/>
  <c r="N60" i="8"/>
  <c r="T388" i="19" s="1"/>
  <c r="T298" i="19" s="1"/>
  <c r="X359" i="19"/>
  <c r="D68" i="11" s="1"/>
  <c r="AY65" i="19"/>
  <c r="AI23" i="19"/>
  <c r="BA23" i="19" s="1"/>
  <c r="V63" i="19"/>
  <c r="AY359" i="19"/>
  <c r="AY360" i="19" s="1"/>
  <c r="AW65" i="19"/>
  <c r="V23" i="19"/>
  <c r="AI29" i="19"/>
  <c r="BA29" i="19" s="1"/>
  <c r="N58" i="8"/>
  <c r="P388" i="19" s="1"/>
  <c r="L53" i="4"/>
  <c r="R45" i="4"/>
  <c r="T191" i="19"/>
  <c r="T193" i="19"/>
  <c r="T194" i="19"/>
  <c r="T304" i="19"/>
  <c r="T303" i="19"/>
  <c r="T301" i="19"/>
  <c r="AI388" i="19"/>
  <c r="Y61" i="8"/>
  <c r="N195" i="19"/>
  <c r="N196" i="19"/>
  <c r="N192" i="19"/>
  <c r="N306" i="19"/>
  <c r="N332" i="19"/>
  <c r="N305" i="19"/>
  <c r="N302" i="19"/>
  <c r="N59" i="8"/>
  <c r="R388" i="19" s="1"/>
  <c r="Y22" i="8"/>
  <c r="AI387" i="19"/>
  <c r="V284" i="19"/>
  <c r="V289" i="19"/>
  <c r="V177" i="19"/>
  <c r="V335" i="19"/>
  <c r="V181" i="19"/>
  <c r="V183" i="19"/>
  <c r="V178" i="19"/>
  <c r="V288" i="19"/>
  <c r="V285" i="19"/>
  <c r="V182" i="19"/>
  <c r="V180" i="19"/>
  <c r="V286" i="19"/>
  <c r="V179" i="19"/>
  <c r="V290" i="19"/>
  <c r="V287" i="19"/>
  <c r="P17" i="8"/>
  <c r="N387" i="19" s="1"/>
  <c r="P72" i="19"/>
  <c r="P357" i="19" s="1"/>
  <c r="P188" i="19"/>
  <c r="P296" i="19"/>
  <c r="P298" i="19"/>
  <c r="P262" i="19"/>
  <c r="P297" i="19"/>
  <c r="P93" i="19"/>
  <c r="P100" i="19"/>
  <c r="P187" i="19"/>
  <c r="AW84" i="19"/>
  <c r="AW80" i="19"/>
  <c r="AW83" i="19"/>
  <c r="AW82" i="19"/>
  <c r="AW70" i="19"/>
  <c r="AW76" i="19"/>
  <c r="AW78" i="19"/>
  <c r="AW81" i="19"/>
  <c r="AW69" i="19"/>
  <c r="AW71" i="19"/>
  <c r="AW77" i="19"/>
  <c r="AW75" i="19"/>
  <c r="AW79" i="19"/>
  <c r="BA57" i="19"/>
  <c r="AI63" i="19"/>
  <c r="P18" i="8"/>
  <c r="P387" i="19" s="1"/>
  <c r="T61" i="19"/>
  <c r="T278" i="19"/>
  <c r="T34" i="19"/>
  <c r="T39" i="19"/>
  <c r="T176" i="19"/>
  <c r="T319" i="19"/>
  <c r="T46" i="19"/>
  <c r="T49" i="19"/>
  <c r="T331" i="19"/>
  <c r="T50" i="19"/>
  <c r="T292" i="19"/>
  <c r="T185" i="19"/>
  <c r="T52" i="19"/>
  <c r="T57" i="19"/>
  <c r="T283" i="19"/>
  <c r="T344" i="19"/>
  <c r="T17" i="19"/>
  <c r="T294" i="19"/>
  <c r="T279" i="19"/>
  <c r="T47" i="19"/>
  <c r="T184" i="19"/>
  <c r="T174" i="19"/>
  <c r="T51" i="19"/>
  <c r="T175" i="19"/>
  <c r="T293" i="19"/>
  <c r="T19" i="19"/>
  <c r="T48" i="19"/>
  <c r="T173" i="19"/>
  <c r="T18" i="19"/>
  <c r="T59" i="19"/>
  <c r="T186" i="19"/>
  <c r="T20" i="19"/>
  <c r="T40" i="19"/>
  <c r="T281" i="19"/>
  <c r="T171" i="19"/>
  <c r="T44" i="19"/>
  <c r="T222" i="19"/>
  <c r="T35" i="19"/>
  <c r="T38" i="19"/>
  <c r="T41" i="19"/>
  <c r="T282" i="19"/>
  <c r="T42" i="19"/>
  <c r="T45" i="19"/>
  <c r="T295" i="19"/>
  <c r="T16" i="19"/>
  <c r="T58" i="19"/>
  <c r="T170" i="19"/>
  <c r="T21" i="19"/>
  <c r="T60" i="19"/>
  <c r="T291" i="19"/>
  <c r="P52" i="19"/>
  <c r="P20" i="19"/>
  <c r="P44" i="19"/>
  <c r="P184" i="19"/>
  <c r="P291" i="19"/>
  <c r="P48" i="19"/>
  <c r="P35" i="19"/>
  <c r="P42" i="19"/>
  <c r="P60" i="19"/>
  <c r="P319" i="19"/>
  <c r="P47" i="19"/>
  <c r="P171" i="19"/>
  <c r="P279" i="19"/>
  <c r="P185" i="19"/>
  <c r="P331" i="19"/>
  <c r="P19" i="19"/>
  <c r="P16" i="19"/>
  <c r="P49" i="19"/>
  <c r="P283" i="19"/>
  <c r="P38" i="19"/>
  <c r="P58" i="19"/>
  <c r="P294" i="19"/>
  <c r="P39" i="19"/>
  <c r="P40" i="19"/>
  <c r="P45" i="19"/>
  <c r="P21" i="19"/>
  <c r="P50" i="19"/>
  <c r="P282" i="19"/>
  <c r="P222" i="19"/>
  <c r="P61" i="19"/>
  <c r="P281" i="19"/>
  <c r="P176" i="19"/>
  <c r="P17" i="19"/>
  <c r="P295" i="19"/>
  <c r="P173" i="19"/>
  <c r="P18" i="19"/>
  <c r="P51" i="19"/>
  <c r="P34" i="19"/>
  <c r="P186" i="19"/>
  <c r="P57" i="19"/>
  <c r="P292" i="19"/>
  <c r="P278" i="19"/>
  <c r="P59" i="19"/>
  <c r="P41" i="19"/>
  <c r="P46" i="19"/>
  <c r="P293" i="19"/>
  <c r="P344" i="19"/>
  <c r="P174" i="19"/>
  <c r="P175" i="19"/>
  <c r="P170" i="19"/>
  <c r="T177" i="19"/>
  <c r="T182" i="19"/>
  <c r="T179" i="19"/>
  <c r="T335" i="19"/>
  <c r="T285" i="19"/>
  <c r="T181" i="19"/>
  <c r="T290" i="19"/>
  <c r="T287" i="19"/>
  <c r="T180" i="19"/>
  <c r="T289" i="19"/>
  <c r="T284" i="19"/>
  <c r="T178" i="19"/>
  <c r="T286" i="19"/>
  <c r="T183" i="19"/>
  <c r="T288" i="19"/>
  <c r="D22" i="11"/>
  <c r="X358" i="19"/>
  <c r="R192" i="19"/>
  <c r="R302" i="19"/>
  <c r="R332" i="19"/>
  <c r="R196" i="19"/>
  <c r="R195" i="19"/>
  <c r="R305" i="19"/>
  <c r="R306" i="19"/>
  <c r="N57" i="8"/>
  <c r="N388" i="19" s="1"/>
  <c r="AQ354" i="19"/>
  <c r="AS397" i="19"/>
  <c r="AS340" i="19" s="1"/>
  <c r="AS347" i="19" s="1"/>
  <c r="V358" i="19"/>
  <c r="D21" i="11"/>
  <c r="N20" i="19"/>
  <c r="N16" i="19"/>
  <c r="N17" i="19"/>
  <c r="N171" i="19"/>
  <c r="N47" i="19"/>
  <c r="N174" i="19"/>
  <c r="N185" i="19"/>
  <c r="N58" i="19"/>
  <c r="N41" i="19"/>
  <c r="N38" i="19"/>
  <c r="N170" i="19"/>
  <c r="N173" i="19"/>
  <c r="N331" i="19"/>
  <c r="N52" i="19"/>
  <c r="N42" i="19"/>
  <c r="N291" i="19"/>
  <c r="N184" i="19"/>
  <c r="N48" i="19"/>
  <c r="N278" i="19"/>
  <c r="N35" i="19"/>
  <c r="N50" i="19"/>
  <c r="N295" i="19"/>
  <c r="N61" i="19"/>
  <c r="N344" i="19"/>
  <c r="N319" i="19"/>
  <c r="N19" i="19"/>
  <c r="N39" i="19"/>
  <c r="N222" i="19"/>
  <c r="N57" i="19"/>
  <c r="N60" i="19"/>
  <c r="N279" i="19"/>
  <c r="N281" i="19"/>
  <c r="N51" i="19"/>
  <c r="N176" i="19"/>
  <c r="N40" i="19"/>
  <c r="N293" i="19"/>
  <c r="N283" i="19"/>
  <c r="N21" i="19"/>
  <c r="N18" i="19"/>
  <c r="N44" i="19"/>
  <c r="N282" i="19"/>
  <c r="N46" i="19"/>
  <c r="N292" i="19"/>
  <c r="N294" i="19"/>
  <c r="N175" i="19"/>
  <c r="N59" i="19"/>
  <c r="N34" i="19"/>
  <c r="N49" i="19"/>
  <c r="N186" i="19"/>
  <c r="N45" i="19"/>
  <c r="BA92" i="19"/>
  <c r="AW359" i="19"/>
  <c r="AW360" i="19" s="1"/>
  <c r="AW393" i="19" s="1"/>
  <c r="AQ361" i="19"/>
  <c r="AQ362" i="19" s="1"/>
  <c r="AQ396" i="19" s="1"/>
  <c r="AO274" i="19"/>
  <c r="AO229" i="19"/>
  <c r="L24" i="6"/>
  <c r="R16" i="6"/>
  <c r="R304" i="19"/>
  <c r="R193" i="19"/>
  <c r="R301" i="19"/>
  <c r="R191" i="19"/>
  <c r="R194" i="19"/>
  <c r="R303" i="19"/>
  <c r="V54" i="19"/>
  <c r="R52" i="19"/>
  <c r="R57" i="19"/>
  <c r="R39" i="19"/>
  <c r="R173" i="19"/>
  <c r="R19" i="19"/>
  <c r="R41" i="19"/>
  <c r="R51" i="19"/>
  <c r="R283" i="19"/>
  <c r="R293" i="19"/>
  <c r="R292" i="19"/>
  <c r="R34" i="19"/>
  <c r="R222" i="19"/>
  <c r="R281" i="19"/>
  <c r="R18" i="19"/>
  <c r="R48" i="19"/>
  <c r="R17" i="19"/>
  <c r="R319" i="19"/>
  <c r="R46" i="19"/>
  <c r="R16" i="19"/>
  <c r="R44" i="19"/>
  <c r="R185" i="19"/>
  <c r="R331" i="19"/>
  <c r="R295" i="19"/>
  <c r="R175" i="19"/>
  <c r="R49" i="19"/>
  <c r="R176" i="19"/>
  <c r="R38" i="19"/>
  <c r="R20" i="19"/>
  <c r="R59" i="19"/>
  <c r="R174" i="19"/>
  <c r="R47" i="19"/>
  <c r="R21" i="19"/>
  <c r="R45" i="19"/>
  <c r="R291" i="19"/>
  <c r="R344" i="19"/>
  <c r="R171" i="19"/>
  <c r="R170" i="19"/>
  <c r="R282" i="19"/>
  <c r="R61" i="19"/>
  <c r="R42" i="19"/>
  <c r="R58" i="19"/>
  <c r="R278" i="19"/>
  <c r="R40" i="19"/>
  <c r="R50" i="19"/>
  <c r="R294" i="19"/>
  <c r="R184" i="19"/>
  <c r="R60" i="19"/>
  <c r="R186" i="19"/>
  <c r="R35" i="19"/>
  <c r="R279" i="19"/>
  <c r="N304" i="19"/>
  <c r="N194" i="19"/>
  <c r="N303" i="19"/>
  <c r="N301" i="19"/>
  <c r="N193" i="19"/>
  <c r="N191" i="19"/>
  <c r="BA278" i="19"/>
  <c r="AW288" i="19"/>
  <c r="AW179" i="19"/>
  <c r="AW286" i="19"/>
  <c r="AW284" i="19"/>
  <c r="AW178" i="19"/>
  <c r="AW287" i="19"/>
  <c r="AW289" i="19"/>
  <c r="AW181" i="19"/>
  <c r="AW180" i="19"/>
  <c r="AW182" i="19"/>
  <c r="AW177" i="19"/>
  <c r="AW290" i="19"/>
  <c r="AW335" i="19"/>
  <c r="AW285" i="19"/>
  <c r="AW183" i="19"/>
  <c r="D16" i="8"/>
  <c r="M46" i="1"/>
  <c r="L383" i="19"/>
  <c r="T72" i="19"/>
  <c r="T357" i="19" s="1"/>
  <c r="T297" i="19"/>
  <c r="F56" i="8"/>
  <c r="H56" i="8" s="1"/>
  <c r="L384" i="19"/>
  <c r="P25" i="4"/>
  <c r="H16" i="8"/>
  <c r="P19" i="8"/>
  <c r="R387" i="19" s="1"/>
  <c r="AO241" i="19"/>
  <c r="AO140" i="19"/>
  <c r="AO154" i="19"/>
  <c r="AO133" i="19"/>
  <c r="AO141" i="19"/>
  <c r="AO155" i="19"/>
  <c r="V359" i="19"/>
  <c r="T195" i="19"/>
  <c r="T332" i="19"/>
  <c r="T305" i="19"/>
  <c r="T196" i="19"/>
  <c r="T192" i="19"/>
  <c r="T302" i="19"/>
  <c r="T306" i="19"/>
  <c r="P305" i="19"/>
  <c r="P195" i="19"/>
  <c r="P192" i="19"/>
  <c r="P196" i="19"/>
  <c r="P302" i="19"/>
  <c r="P306" i="19"/>
  <c r="P332" i="19"/>
  <c r="AI54" i="19"/>
  <c r="BA54" i="19" s="1"/>
  <c r="BA34" i="19"/>
  <c r="P303" i="19"/>
  <c r="P194" i="19"/>
  <c r="P301" i="19"/>
  <c r="P193" i="19"/>
  <c r="P191" i="19"/>
  <c r="P304" i="19"/>
  <c r="AO276" i="19" l="1"/>
  <c r="AO275" i="19"/>
  <c r="AO330" i="19"/>
  <c r="AO341" i="19"/>
  <c r="AO277" i="19"/>
  <c r="AO169" i="19"/>
  <c r="AO231" i="19" s="1"/>
  <c r="AO342" i="19"/>
  <c r="T188" i="19"/>
  <c r="T100" i="19"/>
  <c r="T93" i="19"/>
  <c r="T262" i="19"/>
  <c r="T187" i="19"/>
  <c r="T296" i="19"/>
  <c r="V65" i="19"/>
  <c r="X360" i="19"/>
  <c r="F68" i="11" s="1"/>
  <c r="AY393" i="19" s="1"/>
  <c r="T23" i="19"/>
  <c r="V360" i="19"/>
  <c r="D67" i="11"/>
  <c r="J16" i="8"/>
  <c r="J24" i="8" s="1"/>
  <c r="H24" i="8"/>
  <c r="L306" i="19"/>
  <c r="Z306" i="19" s="1"/>
  <c r="Z384" i="19"/>
  <c r="AA384" i="19" s="1"/>
  <c r="L196" i="19"/>
  <c r="Z196" i="19" s="1"/>
  <c r="L302" i="19"/>
  <c r="Z302" i="19" s="1"/>
  <c r="L332" i="19"/>
  <c r="Z332" i="19" s="1"/>
  <c r="L195" i="19"/>
  <c r="Z195" i="19" s="1"/>
  <c r="L192" i="19"/>
  <c r="Z192" i="19" s="1"/>
  <c r="L305" i="19"/>
  <c r="Z305" i="19" s="1"/>
  <c r="R23" i="19"/>
  <c r="R54" i="19"/>
  <c r="AW97" i="19"/>
  <c r="AW90" i="19"/>
  <c r="AW98" i="19"/>
  <c r="AW91" i="19"/>
  <c r="N262" i="19"/>
  <c r="N188" i="19"/>
  <c r="N100" i="19"/>
  <c r="N187" i="19"/>
  <c r="N297" i="19"/>
  <c r="N93" i="19"/>
  <c r="N72" i="19"/>
  <c r="N357" i="19" s="1"/>
  <c r="N296" i="19"/>
  <c r="N298" i="19"/>
  <c r="P23" i="19"/>
  <c r="T54" i="19"/>
  <c r="BA63" i="19"/>
  <c r="AI65" i="19"/>
  <c r="P358" i="19"/>
  <c r="D18" i="11"/>
  <c r="N285" i="19"/>
  <c r="N286" i="19"/>
  <c r="N178" i="19"/>
  <c r="N183" i="19"/>
  <c r="N284" i="19"/>
  <c r="N179" i="19"/>
  <c r="N288" i="19"/>
  <c r="N182" i="19"/>
  <c r="N181" i="19"/>
  <c r="N289" i="19"/>
  <c r="N287" i="19"/>
  <c r="N335" i="19"/>
  <c r="N290" i="19"/>
  <c r="N180" i="19"/>
  <c r="N177" i="19"/>
  <c r="R72" i="19"/>
  <c r="R357" i="19" s="1"/>
  <c r="R297" i="19"/>
  <c r="R93" i="19"/>
  <c r="R296" i="19"/>
  <c r="R187" i="19"/>
  <c r="R262" i="19"/>
  <c r="R298" i="19"/>
  <c r="R188" i="19"/>
  <c r="R100" i="19"/>
  <c r="AO363" i="19"/>
  <c r="AO364" i="19" s="1"/>
  <c r="AO397" i="19" s="1"/>
  <c r="AO340" i="19" s="1"/>
  <c r="R289" i="19"/>
  <c r="R284" i="19"/>
  <c r="R183" i="19"/>
  <c r="R177" i="19"/>
  <c r="R285" i="19"/>
  <c r="R286" i="19"/>
  <c r="R180" i="19"/>
  <c r="R181" i="19"/>
  <c r="R290" i="19"/>
  <c r="R287" i="19"/>
  <c r="R178" i="19"/>
  <c r="R335" i="19"/>
  <c r="R288" i="19"/>
  <c r="R182" i="19"/>
  <c r="R179" i="19"/>
  <c r="F64" i="8"/>
  <c r="F16" i="8"/>
  <c r="F24" i="8" s="1"/>
  <c r="D24" i="8"/>
  <c r="R63" i="19"/>
  <c r="N54" i="19"/>
  <c r="V392" i="19"/>
  <c r="F21" i="11"/>
  <c r="P63" i="19"/>
  <c r="T63" i="19"/>
  <c r="L386" i="19"/>
  <c r="R24" i="6"/>
  <c r="N23" i="19"/>
  <c r="X392" i="19"/>
  <c r="F22" i="11"/>
  <c r="AY392" i="19" s="1"/>
  <c r="P359" i="19"/>
  <c r="AI180" i="19"/>
  <c r="BA180" i="19" s="1"/>
  <c r="AI286" i="19"/>
  <c r="BA286" i="19" s="1"/>
  <c r="AI290" i="19"/>
  <c r="BA290" i="19" s="1"/>
  <c r="BA387" i="19"/>
  <c r="AI288" i="19"/>
  <c r="BA288" i="19" s="1"/>
  <c r="AI182" i="19"/>
  <c r="BA182" i="19" s="1"/>
  <c r="AI285" i="19"/>
  <c r="BA285" i="19" s="1"/>
  <c r="AI335" i="19"/>
  <c r="BA335" i="19" s="1"/>
  <c r="AI284" i="19"/>
  <c r="AI287" i="19"/>
  <c r="BA287" i="19" s="1"/>
  <c r="AI183" i="19"/>
  <c r="BA183" i="19" s="1"/>
  <c r="AI177" i="19"/>
  <c r="BA177" i="19" s="1"/>
  <c r="AI181" i="19"/>
  <c r="BA181" i="19" s="1"/>
  <c r="AI179" i="19"/>
  <c r="BA179" i="19" s="1"/>
  <c r="AI289" i="19"/>
  <c r="BA289" i="19" s="1"/>
  <c r="AI178" i="19"/>
  <c r="BA178" i="19" s="1"/>
  <c r="R53" i="4"/>
  <c r="L16" i="8"/>
  <c r="N16" i="8" s="1"/>
  <c r="L385" i="19"/>
  <c r="J56" i="8"/>
  <c r="L56" i="8" s="1"/>
  <c r="D20" i="11"/>
  <c r="T358" i="19"/>
  <c r="L35" i="19"/>
  <c r="Z35" i="19" s="1"/>
  <c r="L45" i="19"/>
  <c r="Z45" i="19" s="1"/>
  <c r="L294" i="19"/>
  <c r="Z294" i="19" s="1"/>
  <c r="L34" i="19"/>
  <c r="L61" i="19"/>
  <c r="Z61" i="19" s="1"/>
  <c r="L185" i="19"/>
  <c r="Z185" i="19" s="1"/>
  <c r="L282" i="19"/>
  <c r="Z282" i="19" s="1"/>
  <c r="L44" i="19"/>
  <c r="Z44" i="19" s="1"/>
  <c r="L174" i="19"/>
  <c r="Z174" i="19" s="1"/>
  <c r="L279" i="19"/>
  <c r="Z279" i="19" s="1"/>
  <c r="L184" i="19"/>
  <c r="Z184" i="19" s="1"/>
  <c r="L50" i="19"/>
  <c r="Z50" i="19" s="1"/>
  <c r="L344" i="19"/>
  <c r="Z344" i="19" s="1"/>
  <c r="L59" i="19"/>
  <c r="Z59" i="19" s="1"/>
  <c r="L295" i="19"/>
  <c r="Z295" i="19" s="1"/>
  <c r="L16" i="19"/>
  <c r="L281" i="19"/>
  <c r="Z281" i="19" s="1"/>
  <c r="L175" i="19"/>
  <c r="Z175" i="19" s="1"/>
  <c r="L186" i="19"/>
  <c r="Z186" i="19" s="1"/>
  <c r="L19" i="19"/>
  <c r="Z19" i="19" s="1"/>
  <c r="L42" i="19"/>
  <c r="Z42" i="19" s="1"/>
  <c r="L291" i="19"/>
  <c r="Z291" i="19" s="1"/>
  <c r="L173" i="19"/>
  <c r="Z173" i="19" s="1"/>
  <c r="L18" i="19"/>
  <c r="Z18" i="19" s="1"/>
  <c r="L17" i="19"/>
  <c r="Z17" i="19" s="1"/>
  <c r="L52" i="19"/>
  <c r="Z52" i="19" s="1"/>
  <c r="L60" i="19"/>
  <c r="Z60" i="19" s="1"/>
  <c r="L41" i="19"/>
  <c r="Z41" i="19" s="1"/>
  <c r="L39" i="19"/>
  <c r="Z39" i="19" s="1"/>
  <c r="L57" i="19"/>
  <c r="L292" i="19"/>
  <c r="Z292" i="19" s="1"/>
  <c r="L46" i="19"/>
  <c r="Z46" i="19" s="1"/>
  <c r="L21" i="19"/>
  <c r="Z21" i="19" s="1"/>
  <c r="L293" i="19"/>
  <c r="Z293" i="19" s="1"/>
  <c r="L222" i="19"/>
  <c r="Z222" i="19" s="1"/>
  <c r="L58" i="19"/>
  <c r="Z58" i="19" s="1"/>
  <c r="L51" i="19"/>
  <c r="Z51" i="19" s="1"/>
  <c r="L319" i="19"/>
  <c r="Z319" i="19" s="1"/>
  <c r="L20" i="19"/>
  <c r="Z20" i="19" s="1"/>
  <c r="L278" i="19"/>
  <c r="L171" i="19"/>
  <c r="Z171" i="19" s="1"/>
  <c r="L40" i="19"/>
  <c r="Z40" i="19" s="1"/>
  <c r="L170" i="19"/>
  <c r="Z170" i="19" s="1"/>
  <c r="L49" i="19"/>
  <c r="Z49" i="19" s="1"/>
  <c r="Z383" i="19"/>
  <c r="AA383" i="19" s="1"/>
  <c r="L47" i="19"/>
  <c r="Z47" i="19" s="1"/>
  <c r="L38" i="19"/>
  <c r="Z38" i="19" s="1"/>
  <c r="L331" i="19"/>
  <c r="Z331" i="19" s="1"/>
  <c r="L176" i="19"/>
  <c r="Z176" i="19" s="1"/>
  <c r="L48" i="19"/>
  <c r="Z48" i="19" s="1"/>
  <c r="L283" i="19"/>
  <c r="Z283" i="19" s="1"/>
  <c r="AQ157" i="19"/>
  <c r="AQ150" i="19"/>
  <c r="AQ228" i="19"/>
  <c r="AQ129" i="19"/>
  <c r="AQ217" i="19"/>
  <c r="AQ135" i="19"/>
  <c r="AQ226" i="19"/>
  <c r="AQ318" i="19"/>
  <c r="AQ143" i="19"/>
  <c r="AQ203" i="19"/>
  <c r="AQ219" i="19"/>
  <c r="AQ127" i="19"/>
  <c r="AQ313" i="19"/>
  <c r="AQ311" i="19"/>
  <c r="AQ153" i="19"/>
  <c r="AQ214" i="19"/>
  <c r="AQ323" i="19"/>
  <c r="AQ209" i="19"/>
  <c r="AQ207" i="19"/>
  <c r="AQ145" i="19"/>
  <c r="AQ227" i="19"/>
  <c r="AQ158" i="19"/>
  <c r="AQ204" i="19"/>
  <c r="AQ147" i="19"/>
  <c r="AQ144" i="19"/>
  <c r="AQ156" i="19"/>
  <c r="AQ211" i="19"/>
  <c r="AQ149" i="19"/>
  <c r="AQ224" i="19"/>
  <c r="AQ139" i="19"/>
  <c r="AQ216" i="19"/>
  <c r="AQ208" i="19"/>
  <c r="AQ225" i="19"/>
  <c r="AQ137" i="19"/>
  <c r="AQ223" i="19"/>
  <c r="AQ321" i="19"/>
  <c r="AQ320" i="19"/>
  <c r="AQ212" i="19"/>
  <c r="AQ220" i="19"/>
  <c r="AQ201" i="19"/>
  <c r="AQ317" i="19"/>
  <c r="AQ322" i="19"/>
  <c r="AQ315" i="19"/>
  <c r="AQ206" i="19"/>
  <c r="AQ215" i="19"/>
  <c r="AQ159" i="19"/>
  <c r="AQ316" i="19"/>
  <c r="AQ146" i="19"/>
  <c r="AQ210" i="19"/>
  <c r="AQ202" i="19"/>
  <c r="AQ218" i="19"/>
  <c r="AQ205" i="19"/>
  <c r="AQ148" i="19"/>
  <c r="AQ138" i="19"/>
  <c r="AQ312" i="19"/>
  <c r="AQ339" i="19"/>
  <c r="AQ136" i="19"/>
  <c r="AQ152" i="19"/>
  <c r="AQ221" i="19"/>
  <c r="AQ130" i="19"/>
  <c r="N63" i="19"/>
  <c r="P54" i="19"/>
  <c r="P181" i="19"/>
  <c r="P287" i="19"/>
  <c r="P290" i="19"/>
  <c r="P335" i="19"/>
  <c r="P179" i="19"/>
  <c r="P183" i="19"/>
  <c r="P284" i="19"/>
  <c r="P288" i="19"/>
  <c r="P182" i="19"/>
  <c r="P286" i="19"/>
  <c r="P180" i="19"/>
  <c r="P177" i="19"/>
  <c r="P289" i="19"/>
  <c r="P285" i="19"/>
  <c r="P178" i="19"/>
  <c r="AW86" i="19"/>
  <c r="AI296" i="19"/>
  <c r="BA296" i="19" s="1"/>
  <c r="AI93" i="19"/>
  <c r="AI188" i="19"/>
  <c r="BA188" i="19" s="1"/>
  <c r="AI298" i="19"/>
  <c r="BA298" i="19" s="1"/>
  <c r="AI100" i="19"/>
  <c r="BA100" i="19" s="1"/>
  <c r="AI297" i="19"/>
  <c r="BA297" i="19" s="1"/>
  <c r="BA388" i="19"/>
  <c r="AI187" i="19"/>
  <c r="BA187" i="19" s="1"/>
  <c r="AI72" i="19"/>
  <c r="AI262" i="19"/>
  <c r="BA262" i="19" s="1"/>
  <c r="AO347" i="19" l="1"/>
  <c r="T359" i="19"/>
  <c r="P65" i="19"/>
  <c r="X393" i="19"/>
  <c r="X97" i="19" s="1"/>
  <c r="N359" i="19"/>
  <c r="D63" i="11" s="1"/>
  <c r="Z57" i="19"/>
  <c r="L63" i="19"/>
  <c r="Z63" i="19" s="1"/>
  <c r="L64" i="8"/>
  <c r="J64" i="8"/>
  <c r="D64" i="11"/>
  <c r="P360" i="19"/>
  <c r="X90" i="19"/>
  <c r="R65" i="19"/>
  <c r="AQ367" i="19"/>
  <c r="AQ368" i="19" s="1"/>
  <c r="AQ399" i="19" s="1"/>
  <c r="Z385" i="19"/>
  <c r="AA385" i="19" s="1"/>
  <c r="L193" i="19"/>
  <c r="Z193" i="19" s="1"/>
  <c r="L301" i="19"/>
  <c r="Z301" i="19" s="1"/>
  <c r="L304" i="19"/>
  <c r="Z304" i="19" s="1"/>
  <c r="L191" i="19"/>
  <c r="Z191" i="19" s="1"/>
  <c r="L194" i="19"/>
  <c r="Z194" i="19" s="1"/>
  <c r="L303" i="19"/>
  <c r="Z303" i="19" s="1"/>
  <c r="V69" i="19"/>
  <c r="V77" i="19"/>
  <c r="V71" i="19"/>
  <c r="V78" i="19"/>
  <c r="V84" i="19"/>
  <c r="V75" i="19"/>
  <c r="V82" i="19"/>
  <c r="V80" i="19"/>
  <c r="V81" i="19"/>
  <c r="V79" i="19"/>
  <c r="V83" i="19"/>
  <c r="V76" i="19"/>
  <c r="V70" i="19"/>
  <c r="D66" i="11"/>
  <c r="T360" i="19"/>
  <c r="D19" i="11"/>
  <c r="R358" i="19"/>
  <c r="T65" i="19"/>
  <c r="N358" i="19"/>
  <c r="D17" i="11"/>
  <c r="V393" i="19"/>
  <c r="F67" i="11"/>
  <c r="BA93" i="19"/>
  <c r="AI359" i="19"/>
  <c r="AI360" i="19" s="1"/>
  <c r="Z278" i="19"/>
  <c r="Z16" i="19"/>
  <c r="L23" i="19"/>
  <c r="L54" i="19"/>
  <c r="Z34" i="19"/>
  <c r="F20" i="11"/>
  <c r="T392" i="19"/>
  <c r="L24" i="8"/>
  <c r="AY82" i="19"/>
  <c r="AY83" i="19"/>
  <c r="AY78" i="19"/>
  <c r="AY79" i="19"/>
  <c r="AY76" i="19"/>
  <c r="AY81" i="19"/>
  <c r="AY69" i="19"/>
  <c r="AY75" i="19"/>
  <c r="AY80" i="19"/>
  <c r="AY71" i="19"/>
  <c r="AY70" i="19"/>
  <c r="AY77" i="19"/>
  <c r="AY84" i="19"/>
  <c r="L299" i="19"/>
  <c r="Z299" i="19" s="1"/>
  <c r="L92" i="19"/>
  <c r="L343" i="19"/>
  <c r="Z343" i="19" s="1"/>
  <c r="Z386" i="19"/>
  <c r="AA386" i="19" s="1"/>
  <c r="L333" i="19"/>
  <c r="Z333" i="19" s="1"/>
  <c r="L99" i="19"/>
  <c r="Z99" i="19" s="1"/>
  <c r="L334" i="19"/>
  <c r="Z334" i="19" s="1"/>
  <c r="L189" i="19"/>
  <c r="Z189" i="19" s="1"/>
  <c r="F18" i="11"/>
  <c r="P392" i="19"/>
  <c r="N360" i="19"/>
  <c r="AW102" i="19"/>
  <c r="AW104" i="19" s="1"/>
  <c r="AI357" i="19"/>
  <c r="BA72" i="19"/>
  <c r="AQ365" i="19"/>
  <c r="AQ366" i="19" s="1"/>
  <c r="AQ398" i="19" s="1"/>
  <c r="BA284" i="19"/>
  <c r="X70" i="19"/>
  <c r="X78" i="19"/>
  <c r="X82" i="19"/>
  <c r="X80" i="19"/>
  <c r="X79" i="19"/>
  <c r="X77" i="19"/>
  <c r="X69" i="19"/>
  <c r="X84" i="19"/>
  <c r="X81" i="19"/>
  <c r="X75" i="19"/>
  <c r="X71" i="19"/>
  <c r="X76" i="19"/>
  <c r="X83" i="19"/>
  <c r="AY91" i="19"/>
  <c r="AY90" i="19"/>
  <c r="AY97" i="19"/>
  <c r="AY98" i="19"/>
  <c r="N65" i="19"/>
  <c r="H64" i="8"/>
  <c r="N56" i="8"/>
  <c r="R359" i="19"/>
  <c r="BA65" i="19"/>
  <c r="X98" i="19" l="1"/>
  <c r="X91" i="19"/>
  <c r="AY102" i="19"/>
  <c r="X86" i="19"/>
  <c r="AI358" i="19"/>
  <c r="BA357" i="19"/>
  <c r="F17" i="11"/>
  <c r="N392" i="19"/>
  <c r="F66" i="11"/>
  <c r="T393" i="19"/>
  <c r="AW361" i="19"/>
  <c r="AW362" i="19" s="1"/>
  <c r="AW396" i="19" s="1"/>
  <c r="P76" i="19"/>
  <c r="P80" i="19"/>
  <c r="P84" i="19"/>
  <c r="P83" i="19"/>
  <c r="P81" i="19"/>
  <c r="P71" i="19"/>
  <c r="P78" i="19"/>
  <c r="P77" i="19"/>
  <c r="P69" i="19"/>
  <c r="P70" i="19"/>
  <c r="P82" i="19"/>
  <c r="P75" i="19"/>
  <c r="P79" i="19"/>
  <c r="Z92" i="19"/>
  <c r="AY86" i="19"/>
  <c r="P16" i="8"/>
  <c r="N24" i="8"/>
  <c r="Z54" i="19"/>
  <c r="L65" i="19"/>
  <c r="V90" i="19"/>
  <c r="V98" i="19"/>
  <c r="V91" i="19"/>
  <c r="V97" i="19"/>
  <c r="F64" i="11"/>
  <c r="P393" i="19"/>
  <c r="R360" i="19"/>
  <c r="D65" i="11"/>
  <c r="AQ155" i="19"/>
  <c r="AQ141" i="19"/>
  <c r="AQ241" i="19"/>
  <c r="AQ154" i="19"/>
  <c r="AQ133" i="19"/>
  <c r="AQ140" i="19"/>
  <c r="T71" i="19"/>
  <c r="T84" i="19"/>
  <c r="T76" i="19"/>
  <c r="T70" i="19"/>
  <c r="T81" i="19"/>
  <c r="T69" i="19"/>
  <c r="T77" i="19"/>
  <c r="T79" i="19"/>
  <c r="T78" i="19"/>
  <c r="T83" i="19"/>
  <c r="T80" i="19"/>
  <c r="T75" i="19"/>
  <c r="T82" i="19"/>
  <c r="Z23" i="19"/>
  <c r="BA359" i="19"/>
  <c r="R392" i="19"/>
  <c r="F19" i="11"/>
  <c r="V86" i="19"/>
  <c r="AQ277" i="19"/>
  <c r="AQ345" i="19"/>
  <c r="AQ341" i="19"/>
  <c r="AQ169" i="19"/>
  <c r="AQ342" i="19"/>
  <c r="AQ274" i="19"/>
  <c r="AQ330" i="19"/>
  <c r="AQ275" i="19"/>
  <c r="AQ229" i="19"/>
  <c r="AQ276" i="19"/>
  <c r="N64" i="8"/>
  <c r="L388" i="19"/>
  <c r="F63" i="11"/>
  <c r="N393" i="19"/>
  <c r="X102" i="19" l="1"/>
  <c r="AQ363" i="19"/>
  <c r="AQ364" i="19" s="1"/>
  <c r="AQ397" i="19" s="1"/>
  <c r="AQ340" i="19" s="1"/>
  <c r="AQ347" i="19" s="1"/>
  <c r="P90" i="19"/>
  <c r="P91" i="19"/>
  <c r="P98" i="19"/>
  <c r="P97" i="19"/>
  <c r="Z65" i="19"/>
  <c r="BA358" i="19"/>
  <c r="AI392" i="19"/>
  <c r="R83" i="19"/>
  <c r="R81" i="19"/>
  <c r="R71" i="19"/>
  <c r="R78" i="19"/>
  <c r="R79" i="19"/>
  <c r="R77" i="19"/>
  <c r="R70" i="19"/>
  <c r="R82" i="19"/>
  <c r="R75" i="19"/>
  <c r="R76" i="19"/>
  <c r="R80" i="19"/>
  <c r="R84" i="19"/>
  <c r="R69" i="19"/>
  <c r="AW204" i="19"/>
  <c r="AW224" i="19"/>
  <c r="AW139" i="19"/>
  <c r="AW148" i="19"/>
  <c r="AW216" i="19"/>
  <c r="AW320" i="19"/>
  <c r="AW315" i="19"/>
  <c r="AW207" i="19"/>
  <c r="AW146" i="19"/>
  <c r="AW321" i="19"/>
  <c r="AW317" i="19"/>
  <c r="AW215" i="19"/>
  <c r="AW150" i="19"/>
  <c r="AW323" i="19"/>
  <c r="AW214" i="19"/>
  <c r="AW145" i="19"/>
  <c r="AW159" i="19"/>
  <c r="AW312" i="19"/>
  <c r="AW129" i="19"/>
  <c r="AW217" i="19"/>
  <c r="AW313" i="19"/>
  <c r="AW205" i="19"/>
  <c r="AW152" i="19"/>
  <c r="AW221" i="19"/>
  <c r="AW135" i="19"/>
  <c r="AW211" i="19"/>
  <c r="AW219" i="19"/>
  <c r="AW316" i="19"/>
  <c r="AW318" i="19"/>
  <c r="AW212" i="19"/>
  <c r="AW149" i="19"/>
  <c r="AW228" i="19"/>
  <c r="AW143" i="19"/>
  <c r="AW137" i="19"/>
  <c r="AW136" i="19"/>
  <c r="AW218" i="19"/>
  <c r="AW339" i="19"/>
  <c r="AW156" i="19"/>
  <c r="AW127" i="19"/>
  <c r="AW365" i="19" s="1"/>
  <c r="AW366" i="19" s="1"/>
  <c r="AW398" i="19" s="1"/>
  <c r="AW157" i="19"/>
  <c r="AW147" i="19"/>
  <c r="AW223" i="19"/>
  <c r="AW227" i="19"/>
  <c r="AW203" i="19"/>
  <c r="AW209" i="19"/>
  <c r="AW225" i="19"/>
  <c r="AW208" i="19"/>
  <c r="AW322" i="19"/>
  <c r="AW206" i="19"/>
  <c r="AW158" i="19"/>
  <c r="AW201" i="19"/>
  <c r="AW210" i="19"/>
  <c r="AW220" i="19"/>
  <c r="AW226" i="19"/>
  <c r="AW138" i="19"/>
  <c r="AW202" i="19"/>
  <c r="AW311" i="19"/>
  <c r="AW144" i="19"/>
  <c r="AW130" i="19"/>
  <c r="AW153" i="19"/>
  <c r="N77" i="19"/>
  <c r="N69" i="19"/>
  <c r="N71" i="19"/>
  <c r="N70" i="19"/>
  <c r="N75" i="19"/>
  <c r="N79" i="19"/>
  <c r="N76" i="19"/>
  <c r="N80" i="19"/>
  <c r="N84" i="19"/>
  <c r="N83" i="19"/>
  <c r="N81" i="19"/>
  <c r="N78" i="19"/>
  <c r="N82" i="19"/>
  <c r="X104" i="19"/>
  <c r="BA360" i="19"/>
  <c r="AI393" i="19"/>
  <c r="T86" i="19"/>
  <c r="AY104" i="19"/>
  <c r="N90" i="19"/>
  <c r="N97" i="19"/>
  <c r="N98" i="19"/>
  <c r="N91" i="19"/>
  <c r="L298" i="19"/>
  <c r="Z298" i="19" s="1"/>
  <c r="L100" i="19"/>
  <c r="Z100" i="19" s="1"/>
  <c r="L188" i="19"/>
  <c r="Z188" i="19" s="1"/>
  <c r="L72" i="19"/>
  <c r="L297" i="19"/>
  <c r="Z297" i="19" s="1"/>
  <c r="L187" i="19"/>
  <c r="Z187" i="19" s="1"/>
  <c r="Z388" i="19"/>
  <c r="AA388" i="19" s="1"/>
  <c r="L296" i="19"/>
  <c r="Z296" i="19" s="1"/>
  <c r="L262" i="19"/>
  <c r="Z262" i="19" s="1"/>
  <c r="L93" i="19"/>
  <c r="AQ231" i="19"/>
  <c r="F65" i="11"/>
  <c r="R393" i="19"/>
  <c r="V102" i="19"/>
  <c r="V104" i="19" s="1"/>
  <c r="L387" i="19"/>
  <c r="P24" i="8"/>
  <c r="P86" i="19"/>
  <c r="T97" i="19"/>
  <c r="T98" i="19"/>
  <c r="T91" i="19"/>
  <c r="T90" i="19"/>
  <c r="R86" i="19" l="1"/>
  <c r="AW367" i="19"/>
  <c r="AW368" i="19" s="1"/>
  <c r="AW399" i="19" s="1"/>
  <c r="AW342" i="19" s="1"/>
  <c r="N102" i="19"/>
  <c r="T102" i="19"/>
  <c r="T104" i="19" s="1"/>
  <c r="R98" i="19"/>
  <c r="R90" i="19"/>
  <c r="R91" i="19"/>
  <c r="R97" i="19"/>
  <c r="Z72" i="19"/>
  <c r="L357" i="19"/>
  <c r="L358" i="19" s="1"/>
  <c r="AY361" i="19"/>
  <c r="AY362" i="19" s="1"/>
  <c r="AY396" i="19" s="1"/>
  <c r="X361" i="19"/>
  <c r="N86" i="19"/>
  <c r="AI81" i="19"/>
  <c r="BA81" i="19" s="1"/>
  <c r="AI76" i="19"/>
  <c r="BA76" i="19" s="1"/>
  <c r="BA392" i="19"/>
  <c r="AI69" i="19"/>
  <c r="AI75" i="19"/>
  <c r="BA75" i="19" s="1"/>
  <c r="AI79" i="19"/>
  <c r="BA79" i="19" s="1"/>
  <c r="AI83" i="19"/>
  <c r="BA83" i="19" s="1"/>
  <c r="AI70" i="19"/>
  <c r="BA70" i="19" s="1"/>
  <c r="AI77" i="19"/>
  <c r="BA77" i="19" s="1"/>
  <c r="AI82" i="19"/>
  <c r="BA82" i="19" s="1"/>
  <c r="AI78" i="19"/>
  <c r="BA78" i="19" s="1"/>
  <c r="AI84" i="19"/>
  <c r="BA84" i="19" s="1"/>
  <c r="AI71" i="19"/>
  <c r="BA71" i="19" s="1"/>
  <c r="AI80" i="19"/>
  <c r="BA80" i="19" s="1"/>
  <c r="L182" i="19"/>
  <c r="Z182" i="19" s="1"/>
  <c r="L286" i="19"/>
  <c r="Z286" i="19" s="1"/>
  <c r="L177" i="19"/>
  <c r="Z177" i="19" s="1"/>
  <c r="L288" i="19"/>
  <c r="Z288" i="19" s="1"/>
  <c r="L287" i="19"/>
  <c r="Z287" i="19" s="1"/>
  <c r="L180" i="19"/>
  <c r="Z180" i="19" s="1"/>
  <c r="L285" i="19"/>
  <c r="Z285" i="19" s="1"/>
  <c r="Z387" i="19"/>
  <c r="AA387" i="19" s="1"/>
  <c r="L335" i="19"/>
  <c r="Z335" i="19" s="1"/>
  <c r="L181" i="19"/>
  <c r="Z181" i="19" s="1"/>
  <c r="L290" i="19"/>
  <c r="Z290" i="19" s="1"/>
  <c r="L178" i="19"/>
  <c r="Z178" i="19" s="1"/>
  <c r="L289" i="19"/>
  <c r="Z289" i="19" s="1"/>
  <c r="L284" i="19"/>
  <c r="L179" i="19"/>
  <c r="Z179" i="19" s="1"/>
  <c r="L183" i="19"/>
  <c r="Z183" i="19" s="1"/>
  <c r="AW229" i="19"/>
  <c r="AW274" i="19"/>
  <c r="V361" i="19"/>
  <c r="Z93" i="19"/>
  <c r="L359" i="19"/>
  <c r="L360" i="19" s="1"/>
  <c r="AI97" i="19"/>
  <c r="BA97" i="19" s="1"/>
  <c r="AI90" i="19"/>
  <c r="BA393" i="19"/>
  <c r="AI91" i="19"/>
  <c r="BA91" i="19" s="1"/>
  <c r="AI98" i="19"/>
  <c r="BA98" i="19" s="1"/>
  <c r="AW141" i="19"/>
  <c r="AW133" i="19"/>
  <c r="AW140" i="19"/>
  <c r="AW241" i="19"/>
  <c r="AW154" i="19"/>
  <c r="AW155" i="19"/>
  <c r="P102" i="19"/>
  <c r="P104" i="19" s="1"/>
  <c r="AW341" i="19" l="1"/>
  <c r="N104" i="19"/>
  <c r="N361" i="19" s="1"/>
  <c r="AW345" i="19"/>
  <c r="AW276" i="19"/>
  <c r="AW275" i="19"/>
  <c r="AW330" i="19"/>
  <c r="AW169" i="19"/>
  <c r="AW231" i="19" s="1"/>
  <c r="AW277" i="19"/>
  <c r="P361" i="19"/>
  <c r="Z359" i="19"/>
  <c r="D62" i="11"/>
  <c r="D70" i="11" s="1"/>
  <c r="Z284" i="19"/>
  <c r="AI86" i="19"/>
  <c r="BA86" i="19" s="1"/>
  <c r="BA69" i="19"/>
  <c r="D16" i="11"/>
  <c r="D24" i="11" s="1"/>
  <c r="Z357" i="19"/>
  <c r="R102" i="19"/>
  <c r="R104" i="19" s="1"/>
  <c r="AW363" i="19"/>
  <c r="AW364" i="19" s="1"/>
  <c r="AW397" i="19" s="1"/>
  <c r="AW340" i="19" s="1"/>
  <c r="BA90" i="19"/>
  <c r="AI102" i="19"/>
  <c r="X362" i="19"/>
  <c r="D20" i="12"/>
  <c r="V362" i="19"/>
  <c r="D19" i="12"/>
  <c r="AY153" i="19"/>
  <c r="AY227" i="19"/>
  <c r="AY218" i="19"/>
  <c r="AY150" i="19"/>
  <c r="AY144" i="19"/>
  <c r="AY139" i="19"/>
  <c r="AY311" i="19"/>
  <c r="AY315" i="19"/>
  <c r="AY214" i="19"/>
  <c r="AY224" i="19"/>
  <c r="AY209" i="19"/>
  <c r="AY223" i="19"/>
  <c r="AY149" i="19"/>
  <c r="AY135" i="19"/>
  <c r="AY138" i="19"/>
  <c r="AY159" i="19"/>
  <c r="AY147" i="19"/>
  <c r="AY202" i="19"/>
  <c r="AY312" i="19"/>
  <c r="AY225" i="19"/>
  <c r="AY210" i="19"/>
  <c r="AY203" i="19"/>
  <c r="AY145" i="19"/>
  <c r="AY215" i="19"/>
  <c r="AY208" i="19"/>
  <c r="AY320" i="19"/>
  <c r="AY206" i="19"/>
  <c r="AY226" i="19"/>
  <c r="AY228" i="19"/>
  <c r="AY316" i="19"/>
  <c r="AY212" i="19"/>
  <c r="AY127" i="19"/>
  <c r="AY365" i="19" s="1"/>
  <c r="AY366" i="19" s="1"/>
  <c r="AY398" i="19" s="1"/>
  <c r="AY220" i="19"/>
  <c r="AY211" i="19"/>
  <c r="AY323" i="19"/>
  <c r="AY152" i="19"/>
  <c r="AY137" i="19"/>
  <c r="AY156" i="19"/>
  <c r="AY321" i="19"/>
  <c r="AY130" i="19"/>
  <c r="AY143" i="19"/>
  <c r="AY157" i="19"/>
  <c r="AY317" i="19"/>
  <c r="AY205" i="19"/>
  <c r="AY313" i="19"/>
  <c r="AY136" i="19"/>
  <c r="AY322" i="19"/>
  <c r="AY204" i="19"/>
  <c r="AY146" i="19"/>
  <c r="AY129" i="19"/>
  <c r="AY318" i="19"/>
  <c r="AY221" i="19"/>
  <c r="AY216" i="19"/>
  <c r="AY219" i="19"/>
  <c r="AY207" i="19"/>
  <c r="AY339" i="19"/>
  <c r="AY158" i="19"/>
  <c r="AY148" i="19"/>
  <c r="AY201" i="19"/>
  <c r="AY217" i="19"/>
  <c r="T361" i="19"/>
  <c r="AW347" i="19" l="1"/>
  <c r="AY154" i="19"/>
  <c r="AY133" i="19"/>
  <c r="AY155" i="19"/>
  <c r="AY140" i="19"/>
  <c r="AY241" i="19"/>
  <c r="AY141" i="19"/>
  <c r="BA102" i="19"/>
  <c r="AI104" i="19"/>
  <c r="AY367" i="19"/>
  <c r="AY368" i="19" s="1"/>
  <c r="AY399" i="19" s="1"/>
  <c r="V396" i="19"/>
  <c r="F19" i="12"/>
  <c r="D15" i="12"/>
  <c r="N362" i="19"/>
  <c r="L393" i="19"/>
  <c r="Z360" i="19"/>
  <c r="F62" i="11"/>
  <c r="F70" i="11" s="1"/>
  <c r="L392" i="19"/>
  <c r="Z358" i="19"/>
  <c r="F16" i="11"/>
  <c r="F24" i="11" s="1"/>
  <c r="T362" i="19"/>
  <c r="D18" i="12"/>
  <c r="F20" i="12"/>
  <c r="X396" i="19"/>
  <c r="R361" i="19"/>
  <c r="P362" i="19"/>
  <c r="D16" i="12"/>
  <c r="AY363" i="19" l="1"/>
  <c r="AY364" i="19" s="1"/>
  <c r="AY397" i="19" s="1"/>
  <c r="AY340" i="19" s="1"/>
  <c r="R362" i="19"/>
  <c r="D17" i="12"/>
  <c r="F18" i="12"/>
  <c r="T396" i="19"/>
  <c r="AI361" i="19"/>
  <c r="AI362" i="19" s="1"/>
  <c r="BA104" i="19"/>
  <c r="F16" i="12"/>
  <c r="P396" i="19"/>
  <c r="X156" i="19"/>
  <c r="X159" i="19"/>
  <c r="X135" i="19"/>
  <c r="X219" i="19"/>
  <c r="X209" i="19"/>
  <c r="X208" i="19"/>
  <c r="X203" i="19"/>
  <c r="X158" i="19"/>
  <c r="X146" i="19"/>
  <c r="X145" i="19"/>
  <c r="X127" i="19"/>
  <c r="X365" i="19" s="1"/>
  <c r="X138" i="19"/>
  <c r="X211" i="19"/>
  <c r="X152" i="19"/>
  <c r="X215" i="19"/>
  <c r="X318" i="19"/>
  <c r="X313" i="19"/>
  <c r="X312" i="19"/>
  <c r="X226" i="19"/>
  <c r="X206" i="19"/>
  <c r="X214" i="19"/>
  <c r="X212" i="19"/>
  <c r="X216" i="19"/>
  <c r="X210" i="19"/>
  <c r="X316" i="19"/>
  <c r="X315" i="19"/>
  <c r="X139" i="19"/>
  <c r="X143" i="19"/>
  <c r="X137" i="19"/>
  <c r="X321" i="19"/>
  <c r="X323" i="19"/>
  <c r="X322" i="19"/>
  <c r="X317" i="19"/>
  <c r="X320" i="19"/>
  <c r="X157" i="19"/>
  <c r="X311" i="19"/>
  <c r="X218" i="19"/>
  <c r="X221" i="19"/>
  <c r="X220" i="19"/>
  <c r="X136" i="19"/>
  <c r="X207" i="19"/>
  <c r="X227" i="19"/>
  <c r="X144" i="19"/>
  <c r="X147" i="19"/>
  <c r="X153" i="19"/>
  <c r="X150" i="19"/>
  <c r="X217" i="19"/>
  <c r="X202" i="19"/>
  <c r="X201" i="19"/>
  <c r="X204" i="19"/>
  <c r="X339" i="19"/>
  <c r="X205" i="19"/>
  <c r="X223" i="19"/>
  <c r="X130" i="19"/>
  <c r="X225" i="19"/>
  <c r="X224" i="19"/>
  <c r="X129" i="19"/>
  <c r="X228" i="19"/>
  <c r="X149" i="19"/>
  <c r="X148" i="19"/>
  <c r="L90" i="19"/>
  <c r="L98" i="19"/>
  <c r="Z98" i="19" s="1"/>
  <c r="L91" i="19"/>
  <c r="Z91" i="19" s="1"/>
  <c r="L97" i="19"/>
  <c r="Z97" i="19" s="1"/>
  <c r="Z393" i="19"/>
  <c r="AA393" i="19" s="1"/>
  <c r="V135" i="19"/>
  <c r="V205" i="19"/>
  <c r="V204" i="19"/>
  <c r="V201" i="19"/>
  <c r="V159" i="19"/>
  <c r="V147" i="19"/>
  <c r="V227" i="19"/>
  <c r="V136" i="19"/>
  <c r="V312" i="19"/>
  <c r="V217" i="19"/>
  <c r="V207" i="19"/>
  <c r="V212" i="19"/>
  <c r="V156" i="19"/>
  <c r="V203" i="19"/>
  <c r="V153" i="19"/>
  <c r="V202" i="19"/>
  <c r="V318" i="19"/>
  <c r="V150" i="19"/>
  <c r="V206" i="19"/>
  <c r="V219" i="19"/>
  <c r="V152" i="19"/>
  <c r="V215" i="19"/>
  <c r="V321" i="19"/>
  <c r="V208" i="19"/>
  <c r="V210" i="19"/>
  <c r="V143" i="19"/>
  <c r="V130" i="19"/>
  <c r="V223" i="19"/>
  <c r="V322" i="19"/>
  <c r="V316" i="19"/>
  <c r="V339" i="19"/>
  <c r="V320" i="19"/>
  <c r="V313" i="19"/>
  <c r="V214" i="19"/>
  <c r="V137" i="19"/>
  <c r="V148" i="19"/>
  <c r="V146" i="19"/>
  <c r="V144" i="19"/>
  <c r="V209" i="19"/>
  <c r="V311" i="19"/>
  <c r="V139" i="19"/>
  <c r="V158" i="19"/>
  <c r="V225" i="19"/>
  <c r="V220" i="19"/>
  <c r="V216" i="19"/>
  <c r="V127" i="19"/>
  <c r="V365" i="19" s="1"/>
  <c r="V315" i="19"/>
  <c r="V211" i="19"/>
  <c r="V138" i="19"/>
  <c r="V226" i="19"/>
  <c r="V129" i="19"/>
  <c r="V218" i="19"/>
  <c r="V224" i="19"/>
  <c r="V323" i="19"/>
  <c r="V228" i="19"/>
  <c r="V317" i="19"/>
  <c r="V221" i="19"/>
  <c r="V157" i="19"/>
  <c r="V149" i="19"/>
  <c r="V145" i="19"/>
  <c r="L79" i="19"/>
  <c r="Z79" i="19" s="1"/>
  <c r="L83" i="19"/>
  <c r="Z83" i="19" s="1"/>
  <c r="L69" i="19"/>
  <c r="Z392" i="19"/>
  <c r="AA392" i="19" s="1"/>
  <c r="L82" i="19"/>
  <c r="Z82" i="19" s="1"/>
  <c r="L75" i="19"/>
  <c r="Z75" i="19" s="1"/>
  <c r="L70" i="19"/>
  <c r="Z70" i="19" s="1"/>
  <c r="L81" i="19"/>
  <c r="Z81" i="19" s="1"/>
  <c r="L76" i="19"/>
  <c r="Z76" i="19" s="1"/>
  <c r="L84" i="19"/>
  <c r="Z84" i="19" s="1"/>
  <c r="L80" i="19"/>
  <c r="Z80" i="19" s="1"/>
  <c r="L71" i="19"/>
  <c r="Z71" i="19" s="1"/>
  <c r="L77" i="19"/>
  <c r="Z77" i="19" s="1"/>
  <c r="L78" i="19"/>
  <c r="Z78" i="19" s="1"/>
  <c r="F15" i="12"/>
  <c r="N396" i="19"/>
  <c r="AY345" i="19"/>
  <c r="AY275" i="19"/>
  <c r="AY277" i="19"/>
  <c r="AY169" i="19"/>
  <c r="AY274" i="19"/>
  <c r="AY342" i="19"/>
  <c r="AY276" i="19"/>
  <c r="AY341" i="19"/>
  <c r="AY330" i="19"/>
  <c r="AY229" i="19"/>
  <c r="AY327" i="19" l="1"/>
  <c r="AY347" i="19"/>
  <c r="Z69" i="19"/>
  <c r="L86" i="19"/>
  <c r="Z86" i="19" s="1"/>
  <c r="V367" i="19"/>
  <c r="Z90" i="19"/>
  <c r="L102" i="19"/>
  <c r="T207" i="19"/>
  <c r="T202" i="19"/>
  <c r="T323" i="19"/>
  <c r="T145" i="19"/>
  <c r="T224" i="19"/>
  <c r="T315" i="19"/>
  <c r="T216" i="19"/>
  <c r="T147" i="19"/>
  <c r="T156" i="19"/>
  <c r="T321" i="19"/>
  <c r="T201" i="19"/>
  <c r="T312" i="19"/>
  <c r="T139" i="19"/>
  <c r="T223" i="19"/>
  <c r="T153" i="19"/>
  <c r="T211" i="19"/>
  <c r="T212" i="19"/>
  <c r="T149" i="19"/>
  <c r="T150" i="19"/>
  <c r="T137" i="19"/>
  <c r="T138" i="19"/>
  <c r="T320" i="19"/>
  <c r="T313" i="19"/>
  <c r="T152" i="19"/>
  <c r="T157" i="19"/>
  <c r="T322" i="19"/>
  <c r="T339" i="19"/>
  <c r="T206" i="19"/>
  <c r="T205" i="19"/>
  <c r="T215" i="19"/>
  <c r="T220" i="19"/>
  <c r="T214" i="19"/>
  <c r="T158" i="19"/>
  <c r="T221" i="19"/>
  <c r="T146" i="19"/>
  <c r="T217" i="19"/>
  <c r="T135" i="19"/>
  <c r="T130" i="19"/>
  <c r="T219" i="19"/>
  <c r="T204" i="19"/>
  <c r="T203" i="19"/>
  <c r="T311" i="19"/>
  <c r="T148" i="19"/>
  <c r="T144" i="19"/>
  <c r="T227" i="19"/>
  <c r="T127" i="19"/>
  <c r="T136" i="19"/>
  <c r="T226" i="19"/>
  <c r="T228" i="19"/>
  <c r="T218" i="19"/>
  <c r="T318" i="19"/>
  <c r="T209" i="19"/>
  <c r="T159" i="19"/>
  <c r="T208" i="19"/>
  <c r="T316" i="19"/>
  <c r="T210" i="19"/>
  <c r="T317" i="19"/>
  <c r="T129" i="19"/>
  <c r="T225" i="19"/>
  <c r="T143" i="19"/>
  <c r="X367" i="19"/>
  <c r="P221" i="19"/>
  <c r="P129" i="19"/>
  <c r="P147" i="19"/>
  <c r="P159" i="19"/>
  <c r="P209" i="19"/>
  <c r="P144" i="19"/>
  <c r="P212" i="19"/>
  <c r="P139" i="19"/>
  <c r="P315" i="19"/>
  <c r="P207" i="19"/>
  <c r="P157" i="19"/>
  <c r="P203" i="19"/>
  <c r="P150" i="19"/>
  <c r="P211" i="19"/>
  <c r="P217" i="19"/>
  <c r="P216" i="19"/>
  <c r="P127" i="19"/>
  <c r="P224" i="19"/>
  <c r="P318" i="19"/>
  <c r="P219" i="19"/>
  <c r="P137" i="19"/>
  <c r="P313" i="19"/>
  <c r="P321" i="19"/>
  <c r="P158" i="19"/>
  <c r="P323" i="19"/>
  <c r="P146" i="19"/>
  <c r="P220" i="19"/>
  <c r="P218" i="19"/>
  <c r="P205" i="19"/>
  <c r="P153" i="19"/>
  <c r="P201" i="19"/>
  <c r="P145" i="19"/>
  <c r="P138" i="19"/>
  <c r="P135" i="19"/>
  <c r="P225" i="19"/>
  <c r="P202" i="19"/>
  <c r="P214" i="19"/>
  <c r="P215" i="19"/>
  <c r="P339" i="19"/>
  <c r="P311" i="19"/>
  <c r="P228" i="19"/>
  <c r="P156" i="19"/>
  <c r="P322" i="19"/>
  <c r="P210" i="19"/>
  <c r="P223" i="19"/>
  <c r="P206" i="19"/>
  <c r="P130" i="19"/>
  <c r="P208" i="19"/>
  <c r="P204" i="19"/>
  <c r="P320" i="19"/>
  <c r="P143" i="19"/>
  <c r="P316" i="19"/>
  <c r="P136" i="19"/>
  <c r="P148" i="19"/>
  <c r="P317" i="19"/>
  <c r="P227" i="19"/>
  <c r="P312" i="19"/>
  <c r="P152" i="19"/>
  <c r="P226" i="19"/>
  <c r="P149" i="19"/>
  <c r="D61" i="12"/>
  <c r="V366" i="19"/>
  <c r="X366" i="19"/>
  <c r="D62" i="12"/>
  <c r="AY231" i="19"/>
  <c r="N127" i="19"/>
  <c r="N365" i="19" s="1"/>
  <c r="N138" i="19"/>
  <c r="N144" i="19"/>
  <c r="N313" i="19"/>
  <c r="N130" i="19"/>
  <c r="N143" i="19"/>
  <c r="N148" i="19"/>
  <c r="N221" i="19"/>
  <c r="N159" i="19"/>
  <c r="N316" i="19"/>
  <c r="N202" i="19"/>
  <c r="N158" i="19"/>
  <c r="N227" i="19"/>
  <c r="N137" i="19"/>
  <c r="N226" i="19"/>
  <c r="N146" i="19"/>
  <c r="N156" i="19"/>
  <c r="N317" i="19"/>
  <c r="N212" i="19"/>
  <c r="N150" i="19"/>
  <c r="N311" i="19"/>
  <c r="N322" i="19"/>
  <c r="N145" i="19"/>
  <c r="N204" i="19"/>
  <c r="N209" i="19"/>
  <c r="N220" i="19"/>
  <c r="N139" i="19"/>
  <c r="N152" i="19"/>
  <c r="N312" i="19"/>
  <c r="N323" i="19"/>
  <c r="N320" i="19"/>
  <c r="N201" i="19"/>
  <c r="N210" i="19"/>
  <c r="N203" i="19"/>
  <c r="N339" i="19"/>
  <c r="N205" i="19"/>
  <c r="N216" i="19"/>
  <c r="N211" i="19"/>
  <c r="N223" i="19"/>
  <c r="N228" i="19"/>
  <c r="N207" i="19"/>
  <c r="N315" i="19"/>
  <c r="N321" i="19"/>
  <c r="N206" i="19"/>
  <c r="N217" i="19"/>
  <c r="N214" i="19"/>
  <c r="N219" i="19"/>
  <c r="N149" i="19"/>
  <c r="N129" i="19"/>
  <c r="N218" i="19"/>
  <c r="N224" i="19"/>
  <c r="N318" i="19"/>
  <c r="N135" i="19"/>
  <c r="N147" i="19"/>
  <c r="N157" i="19"/>
  <c r="N136" i="19"/>
  <c r="N208" i="19"/>
  <c r="N215" i="19"/>
  <c r="N225" i="19"/>
  <c r="N153" i="19"/>
  <c r="BA361" i="19"/>
  <c r="R396" i="19"/>
  <c r="F17" i="12"/>
  <c r="AY349" i="19" l="1"/>
  <c r="AY369" i="19" s="1"/>
  <c r="AY370" i="19" s="1"/>
  <c r="AY400" i="19" s="1"/>
  <c r="AY234" i="19" s="1"/>
  <c r="R135" i="19"/>
  <c r="R316" i="19"/>
  <c r="R148" i="19"/>
  <c r="R312" i="19"/>
  <c r="R220" i="19"/>
  <c r="R211" i="19"/>
  <c r="R152" i="19"/>
  <c r="R138" i="19"/>
  <c r="R215" i="19"/>
  <c r="R321" i="19"/>
  <c r="R224" i="19"/>
  <c r="R157" i="19"/>
  <c r="R209" i="19"/>
  <c r="R221" i="19"/>
  <c r="R320" i="19"/>
  <c r="R129" i="19"/>
  <c r="R315" i="19"/>
  <c r="R226" i="19"/>
  <c r="R218" i="19"/>
  <c r="R156" i="19"/>
  <c r="R139" i="19"/>
  <c r="R158" i="19"/>
  <c r="R217" i="19"/>
  <c r="R145" i="19"/>
  <c r="R210" i="19"/>
  <c r="R201" i="19"/>
  <c r="R127" i="19"/>
  <c r="R216" i="19"/>
  <c r="R206" i="19"/>
  <c r="R149" i="19"/>
  <c r="R223" i="19"/>
  <c r="R130" i="19"/>
  <c r="R219" i="19"/>
  <c r="R228" i="19"/>
  <c r="R207" i="19"/>
  <c r="R143" i="19"/>
  <c r="R137" i="19"/>
  <c r="R202" i="19"/>
  <c r="R311" i="19"/>
  <c r="R339" i="19"/>
  <c r="R214" i="19"/>
  <c r="R227" i="19"/>
  <c r="R204" i="19"/>
  <c r="R205" i="19"/>
  <c r="R153" i="19"/>
  <c r="R136" i="19"/>
  <c r="R317" i="19"/>
  <c r="R208" i="19"/>
  <c r="R203" i="19"/>
  <c r="R146" i="19"/>
  <c r="R212" i="19"/>
  <c r="R313" i="19"/>
  <c r="R150" i="19"/>
  <c r="R159" i="19"/>
  <c r="R318" i="19"/>
  <c r="R225" i="19"/>
  <c r="R323" i="19"/>
  <c r="R322" i="19"/>
  <c r="R144" i="19"/>
  <c r="R147" i="19"/>
  <c r="P365" i="19"/>
  <c r="T365" i="19"/>
  <c r="T367" i="19"/>
  <c r="V368" i="19"/>
  <c r="D83" i="12"/>
  <c r="F62" i="12"/>
  <c r="X398" i="19"/>
  <c r="P367" i="19"/>
  <c r="D84" i="12"/>
  <c r="X368" i="19"/>
  <c r="AI396" i="19"/>
  <c r="BA362" i="19"/>
  <c r="N367" i="19"/>
  <c r="D57" i="12"/>
  <c r="N366" i="19"/>
  <c r="V398" i="19"/>
  <c r="F61" i="12"/>
  <c r="L104" i="19"/>
  <c r="Z102" i="19"/>
  <c r="AY250" i="19" l="1"/>
  <c r="AY265" i="19"/>
  <c r="AY245" i="19"/>
  <c r="AY242" i="19"/>
  <c r="AY253" i="19"/>
  <c r="AY243" i="19"/>
  <c r="AY235" i="19"/>
  <c r="AY238" i="19" s="1"/>
  <c r="AI218" i="19"/>
  <c r="BA218" i="19" s="1"/>
  <c r="AI223" i="19"/>
  <c r="BA223" i="19" s="1"/>
  <c r="BA396" i="19"/>
  <c r="AI205" i="19"/>
  <c r="BA205" i="19" s="1"/>
  <c r="AI228" i="19"/>
  <c r="BA228" i="19" s="1"/>
  <c r="AI149" i="19"/>
  <c r="BA149" i="19" s="1"/>
  <c r="AI219" i="19"/>
  <c r="BA219" i="19" s="1"/>
  <c r="AI210" i="19"/>
  <c r="BA210" i="19" s="1"/>
  <c r="AI313" i="19"/>
  <c r="BA313" i="19" s="1"/>
  <c r="AI322" i="19"/>
  <c r="BA322" i="19" s="1"/>
  <c r="AI130" i="19"/>
  <c r="BA130" i="19" s="1"/>
  <c r="AI206" i="19"/>
  <c r="BA206" i="19" s="1"/>
  <c r="AI216" i="19"/>
  <c r="BA216" i="19" s="1"/>
  <c r="AI207" i="19"/>
  <c r="BA207" i="19" s="1"/>
  <c r="AI144" i="19"/>
  <c r="BA144" i="19" s="1"/>
  <c r="AI201" i="19"/>
  <c r="BA201" i="19" s="1"/>
  <c r="AI317" i="19"/>
  <c r="BA317" i="19" s="1"/>
  <c r="AI339" i="19"/>
  <c r="BA339" i="19" s="1"/>
  <c r="AI214" i="19"/>
  <c r="BA214" i="19" s="1"/>
  <c r="AI129" i="19"/>
  <c r="BA129" i="19" s="1"/>
  <c r="AI323" i="19"/>
  <c r="BA323" i="19" s="1"/>
  <c r="AI311" i="19"/>
  <c r="AI146" i="19"/>
  <c r="BA146" i="19" s="1"/>
  <c r="AI150" i="19"/>
  <c r="BA150" i="19" s="1"/>
  <c r="AI147" i="19"/>
  <c r="BA147" i="19" s="1"/>
  <c r="AI217" i="19"/>
  <c r="BA217" i="19" s="1"/>
  <c r="AI148" i="19"/>
  <c r="BA148" i="19" s="1"/>
  <c r="AI157" i="19"/>
  <c r="BA157" i="19" s="1"/>
  <c r="AI224" i="19"/>
  <c r="BA224" i="19" s="1"/>
  <c r="AI136" i="19"/>
  <c r="BA136" i="19" s="1"/>
  <c r="AI315" i="19"/>
  <c r="BA315" i="19" s="1"/>
  <c r="AI320" i="19"/>
  <c r="BA320" i="19" s="1"/>
  <c r="AI159" i="19"/>
  <c r="BA159" i="19" s="1"/>
  <c r="AI225" i="19"/>
  <c r="BA225" i="19" s="1"/>
  <c r="AI316" i="19"/>
  <c r="BA316" i="19" s="1"/>
  <c r="AI127" i="19"/>
  <c r="AI220" i="19"/>
  <c r="BA220" i="19" s="1"/>
  <c r="AI152" i="19"/>
  <c r="BA152" i="19" s="1"/>
  <c r="AI221" i="19"/>
  <c r="BA221" i="19" s="1"/>
  <c r="AI226" i="19"/>
  <c r="BA226" i="19" s="1"/>
  <c r="AI227" i="19"/>
  <c r="BA227" i="19" s="1"/>
  <c r="AI137" i="19"/>
  <c r="BA137" i="19" s="1"/>
  <c r="AI145" i="19"/>
  <c r="BA145" i="19" s="1"/>
  <c r="AI211" i="19"/>
  <c r="BA211" i="19" s="1"/>
  <c r="AI321" i="19"/>
  <c r="BA321" i="19" s="1"/>
  <c r="AI153" i="19"/>
  <c r="BA153" i="19" s="1"/>
  <c r="AI139" i="19"/>
  <c r="BA139" i="19" s="1"/>
  <c r="AI143" i="19"/>
  <c r="BA143" i="19" s="1"/>
  <c r="AI138" i="19"/>
  <c r="BA138" i="19" s="1"/>
  <c r="AI208" i="19"/>
  <c r="BA208" i="19" s="1"/>
  <c r="AI156" i="19"/>
  <c r="BA156" i="19" s="1"/>
  <c r="AI203" i="19"/>
  <c r="BA203" i="19" s="1"/>
  <c r="AI204" i="19"/>
  <c r="BA204" i="19" s="1"/>
  <c r="AI209" i="19"/>
  <c r="BA209" i="19" s="1"/>
  <c r="AI158" i="19"/>
  <c r="BA158" i="19" s="1"/>
  <c r="AI215" i="19"/>
  <c r="BA215" i="19" s="1"/>
  <c r="AI212" i="19"/>
  <c r="BA212" i="19" s="1"/>
  <c r="AI312" i="19"/>
  <c r="BA312" i="19" s="1"/>
  <c r="AI318" i="19"/>
  <c r="BA318" i="19" s="1"/>
  <c r="AI135" i="19"/>
  <c r="BA135" i="19" s="1"/>
  <c r="AI202" i="19"/>
  <c r="BA202" i="19" s="1"/>
  <c r="D79" i="12"/>
  <c r="N368" i="19"/>
  <c r="D80" i="12"/>
  <c r="P368" i="19"/>
  <c r="V399" i="19"/>
  <c r="F83" i="12"/>
  <c r="D60" i="12"/>
  <c r="T366" i="19"/>
  <c r="R367" i="19"/>
  <c r="R365" i="19"/>
  <c r="T368" i="19"/>
  <c r="D82" i="12"/>
  <c r="V155" i="19"/>
  <c r="V154" i="19"/>
  <c r="V241" i="19"/>
  <c r="V141" i="19"/>
  <c r="V140" i="19"/>
  <c r="V133" i="19"/>
  <c r="F57" i="12"/>
  <c r="N398" i="19"/>
  <c r="X155" i="19"/>
  <c r="X140" i="19"/>
  <c r="X141" i="19"/>
  <c r="X154" i="19"/>
  <c r="X241" i="19"/>
  <c r="X133" i="19"/>
  <c r="L361" i="19"/>
  <c r="L362" i="19" s="1"/>
  <c r="Z104" i="19"/>
  <c r="X399" i="19"/>
  <c r="F84" i="12"/>
  <c r="P366" i="19"/>
  <c r="D58" i="12"/>
  <c r="AY371" i="19" l="1"/>
  <c r="AY372" i="19" s="1"/>
  <c r="AY401" i="19" s="1"/>
  <c r="AY258" i="19" s="1"/>
  <c r="AI365" i="19"/>
  <c r="AI366" i="19" s="1"/>
  <c r="BA127" i="19"/>
  <c r="X275" i="19"/>
  <c r="X277" i="19"/>
  <c r="X342" i="19"/>
  <c r="X229" i="19"/>
  <c r="X169" i="19"/>
  <c r="X330" i="19"/>
  <c r="X341" i="19"/>
  <c r="X276" i="19"/>
  <c r="X324" i="19"/>
  <c r="AU324" i="19" s="1"/>
  <c r="AU327" i="19" s="1"/>
  <c r="AU349" i="19" s="1"/>
  <c r="AU369" i="19" s="1"/>
  <c r="AU370" i="19" s="1"/>
  <c r="AU400" i="19" s="1"/>
  <c r="X274" i="19"/>
  <c r="X345" i="19"/>
  <c r="N241" i="19"/>
  <c r="N155" i="19"/>
  <c r="N133" i="19"/>
  <c r="N154" i="19"/>
  <c r="N140" i="19"/>
  <c r="N141" i="19"/>
  <c r="V363" i="19"/>
  <c r="R366" i="19"/>
  <c r="D59" i="12"/>
  <c r="F79" i="12"/>
  <c r="N399" i="19"/>
  <c r="D14" i="12"/>
  <c r="D22" i="12" s="1"/>
  <c r="Z361" i="19"/>
  <c r="X363" i="19"/>
  <c r="F82" i="12"/>
  <c r="T399" i="19"/>
  <c r="D81" i="12"/>
  <c r="R368" i="19"/>
  <c r="V330" i="19"/>
  <c r="V341" i="19"/>
  <c r="V274" i="19"/>
  <c r="V169" i="19"/>
  <c r="V345" i="19"/>
  <c r="V324" i="19"/>
  <c r="AS324" i="19" s="1"/>
  <c r="AS327" i="19" s="1"/>
  <c r="AS349" i="19" s="1"/>
  <c r="AS369" i="19" s="1"/>
  <c r="AS370" i="19" s="1"/>
  <c r="V229" i="19"/>
  <c r="V342" i="19"/>
  <c r="V277" i="19"/>
  <c r="V275" i="19"/>
  <c r="V276" i="19"/>
  <c r="BA311" i="19"/>
  <c r="AI367" i="19"/>
  <c r="AI368" i="19" s="1"/>
  <c r="P398" i="19"/>
  <c r="F58" i="12"/>
  <c r="T398" i="19"/>
  <c r="F60" i="12"/>
  <c r="F80" i="12"/>
  <c r="P399" i="19"/>
  <c r="AY259" i="19" l="1"/>
  <c r="AY244" i="19"/>
  <c r="AY248" i="19" s="1"/>
  <c r="AY142" i="19"/>
  <c r="AY161" i="19" s="1"/>
  <c r="AY165" i="19" s="1"/>
  <c r="AY257" i="19"/>
  <c r="N363" i="19"/>
  <c r="N364" i="19" s="1"/>
  <c r="T154" i="19"/>
  <c r="T155" i="19"/>
  <c r="T141" i="19"/>
  <c r="T241" i="19"/>
  <c r="T140" i="19"/>
  <c r="T133" i="19"/>
  <c r="V231" i="19"/>
  <c r="R399" i="19"/>
  <c r="F81" i="12"/>
  <c r="D39" i="12"/>
  <c r="X364" i="19"/>
  <c r="N276" i="19"/>
  <c r="N275" i="19"/>
  <c r="N277" i="19"/>
  <c r="N341" i="19"/>
  <c r="N330" i="19"/>
  <c r="N342" i="19"/>
  <c r="N274" i="19"/>
  <c r="N229" i="19"/>
  <c r="N169" i="19"/>
  <c r="N324" i="19"/>
  <c r="AK324" i="19" s="1"/>
  <c r="AK327" i="19" s="1"/>
  <c r="AK349" i="19" s="1"/>
  <c r="AK369" i="19" s="1"/>
  <c r="AK370" i="19" s="1"/>
  <c r="AK400" i="19" s="1"/>
  <c r="N345" i="19"/>
  <c r="D38" i="12"/>
  <c r="V364" i="19"/>
  <c r="X327" i="19"/>
  <c r="V327" i="19"/>
  <c r="AU245" i="19"/>
  <c r="AU243" i="19"/>
  <c r="AU234" i="19"/>
  <c r="AU253" i="19"/>
  <c r="AU250" i="19"/>
  <c r="AU242" i="19"/>
  <c r="AU265" i="19"/>
  <c r="AU235" i="19"/>
  <c r="X231" i="19"/>
  <c r="P229" i="19"/>
  <c r="P330" i="19"/>
  <c r="P324" i="19"/>
  <c r="AM324" i="19" s="1"/>
  <c r="AM327" i="19" s="1"/>
  <c r="AM349" i="19" s="1"/>
  <c r="AM369" i="19" s="1"/>
  <c r="AM370" i="19" s="1"/>
  <c r="AM400" i="19" s="1"/>
  <c r="P276" i="19"/>
  <c r="P341" i="19"/>
  <c r="P342" i="19"/>
  <c r="P345" i="19"/>
  <c r="P275" i="19"/>
  <c r="P274" i="19"/>
  <c r="P277" i="19"/>
  <c r="P169" i="19"/>
  <c r="P231" i="19" s="1"/>
  <c r="P133" i="19"/>
  <c r="P141" i="19"/>
  <c r="P241" i="19"/>
  <c r="P155" i="19"/>
  <c r="P140" i="19"/>
  <c r="P154" i="19"/>
  <c r="AS400" i="19"/>
  <c r="AS354" i="19"/>
  <c r="T274" i="19"/>
  <c r="T277" i="19"/>
  <c r="T275" i="19"/>
  <c r="T324" i="19"/>
  <c r="AQ324" i="19" s="1"/>
  <c r="AQ327" i="19" s="1"/>
  <c r="AQ349" i="19" s="1"/>
  <c r="AQ369" i="19" s="1"/>
  <c r="AQ370" i="19" s="1"/>
  <c r="AQ400" i="19" s="1"/>
  <c r="T229" i="19"/>
  <c r="T169" i="19"/>
  <c r="T341" i="19"/>
  <c r="T342" i="19"/>
  <c r="T345" i="19"/>
  <c r="T276" i="19"/>
  <c r="T330" i="19"/>
  <c r="BA367" i="19"/>
  <c r="Z362" i="19"/>
  <c r="F14" i="12"/>
  <c r="F22" i="12" s="1"/>
  <c r="L396" i="19"/>
  <c r="R398" i="19"/>
  <c r="F59" i="12"/>
  <c r="BA365" i="19"/>
  <c r="AY267" i="19" l="1"/>
  <c r="AY255" i="19"/>
  <c r="D34" i="12"/>
  <c r="N231" i="19"/>
  <c r="T363" i="19"/>
  <c r="T364" i="19" s="1"/>
  <c r="N327" i="19"/>
  <c r="AQ245" i="19"/>
  <c r="AQ235" i="19"/>
  <c r="AQ253" i="19"/>
  <c r="AQ234" i="19"/>
  <c r="AQ243" i="19"/>
  <c r="AQ242" i="19"/>
  <c r="AQ265" i="19"/>
  <c r="AQ250" i="19"/>
  <c r="AM253" i="19"/>
  <c r="AM243" i="19"/>
  <c r="AM265" i="19"/>
  <c r="AM234" i="19"/>
  <c r="AM242" i="19"/>
  <c r="AM250" i="19"/>
  <c r="AM245" i="19"/>
  <c r="AM235" i="19"/>
  <c r="F38" i="12"/>
  <c r="V397" i="19"/>
  <c r="V340" i="19" s="1"/>
  <c r="V347" i="19" s="1"/>
  <c r="V349" i="19" s="1"/>
  <c r="V369" i="19" s="1"/>
  <c r="R229" i="19"/>
  <c r="R277" i="19"/>
  <c r="R324" i="19"/>
  <c r="AO324" i="19" s="1"/>
  <c r="AO327" i="19" s="1"/>
  <c r="AO349" i="19" s="1"/>
  <c r="AO369" i="19" s="1"/>
  <c r="AO370" i="19" s="1"/>
  <c r="AO400" i="19" s="1"/>
  <c r="R169" i="19"/>
  <c r="R276" i="19"/>
  <c r="R330" i="19"/>
  <c r="R275" i="19"/>
  <c r="R341" i="19"/>
  <c r="R345" i="19"/>
  <c r="R342" i="19"/>
  <c r="R274" i="19"/>
  <c r="AS242" i="19"/>
  <c r="AS243" i="19"/>
  <c r="AS253" i="19"/>
  <c r="AS234" i="19"/>
  <c r="AS235" i="19"/>
  <c r="AS250" i="19"/>
  <c r="AS245" i="19"/>
  <c r="AS265" i="19"/>
  <c r="AU238" i="19"/>
  <c r="AU371" i="19" s="1"/>
  <c r="AU372" i="19" s="1"/>
  <c r="AU401" i="19" s="1"/>
  <c r="N397" i="19"/>
  <c r="N340" i="19" s="1"/>
  <c r="N347" i="19" s="1"/>
  <c r="N349" i="19" s="1"/>
  <c r="N369" i="19" s="1"/>
  <c r="F34" i="12"/>
  <c r="F39" i="12"/>
  <c r="X397" i="19"/>
  <c r="X340" i="19" s="1"/>
  <c r="X347" i="19" s="1"/>
  <c r="X349" i="19" s="1"/>
  <c r="X369" i="19" s="1"/>
  <c r="D37" i="12"/>
  <c r="R133" i="19"/>
  <c r="R241" i="19"/>
  <c r="R154" i="19"/>
  <c r="R141" i="19"/>
  <c r="R155" i="19"/>
  <c r="R140" i="19"/>
  <c r="AI399" i="19"/>
  <c r="BA368" i="19"/>
  <c r="T231" i="19"/>
  <c r="P327" i="19"/>
  <c r="AI398" i="19"/>
  <c r="BA366" i="19"/>
  <c r="L227" i="19"/>
  <c r="Z227" i="19" s="1"/>
  <c r="L313" i="19"/>
  <c r="Z313" i="19" s="1"/>
  <c r="L207" i="19"/>
  <c r="Z207" i="19" s="1"/>
  <c r="L224" i="19"/>
  <c r="Z224" i="19" s="1"/>
  <c r="L203" i="19"/>
  <c r="Z203" i="19" s="1"/>
  <c r="L157" i="19"/>
  <c r="Z157" i="19" s="1"/>
  <c r="L136" i="19"/>
  <c r="Z136" i="19" s="1"/>
  <c r="L129" i="19"/>
  <c r="Z129" i="19" s="1"/>
  <c r="L144" i="19"/>
  <c r="Z144" i="19" s="1"/>
  <c r="L223" i="19"/>
  <c r="Z223" i="19" s="1"/>
  <c r="L221" i="19"/>
  <c r="Z221" i="19" s="1"/>
  <c r="L149" i="19"/>
  <c r="Z149" i="19" s="1"/>
  <c r="L209" i="19"/>
  <c r="Z209" i="19" s="1"/>
  <c r="L146" i="19"/>
  <c r="Z146" i="19" s="1"/>
  <c r="L228" i="19"/>
  <c r="Z228" i="19" s="1"/>
  <c r="Z396" i="19"/>
  <c r="AA396" i="19" s="1"/>
  <c r="L158" i="19"/>
  <c r="Z158" i="19" s="1"/>
  <c r="L312" i="19"/>
  <c r="Z312" i="19" s="1"/>
  <c r="L153" i="19"/>
  <c r="Z153" i="19" s="1"/>
  <c r="L204" i="19"/>
  <c r="Z204" i="19" s="1"/>
  <c r="L217" i="19"/>
  <c r="Z217" i="19" s="1"/>
  <c r="L156" i="19"/>
  <c r="Z156" i="19" s="1"/>
  <c r="L318" i="19"/>
  <c r="Z318" i="19" s="1"/>
  <c r="L323" i="19"/>
  <c r="Z323" i="19" s="1"/>
  <c r="L315" i="19"/>
  <c r="Z315" i="19" s="1"/>
  <c r="L139" i="19"/>
  <c r="Z139" i="19" s="1"/>
  <c r="L201" i="19"/>
  <c r="Z201" i="19" s="1"/>
  <c r="L211" i="19"/>
  <c r="Z211" i="19" s="1"/>
  <c r="L152" i="19"/>
  <c r="Z152" i="19" s="1"/>
  <c r="L130" i="19"/>
  <c r="Z130" i="19" s="1"/>
  <c r="L212" i="19"/>
  <c r="Z212" i="19" s="1"/>
  <c r="L138" i="19"/>
  <c r="Z138" i="19" s="1"/>
  <c r="L205" i="19"/>
  <c r="Z205" i="19" s="1"/>
  <c r="L216" i="19"/>
  <c r="Z216" i="19" s="1"/>
  <c r="L311" i="19"/>
  <c r="L210" i="19"/>
  <c r="Z210" i="19" s="1"/>
  <c r="L226" i="19"/>
  <c r="Z226" i="19" s="1"/>
  <c r="L127" i="19"/>
  <c r="L137" i="19"/>
  <c r="Z137" i="19" s="1"/>
  <c r="L215" i="19"/>
  <c r="Z215" i="19" s="1"/>
  <c r="L339" i="19"/>
  <c r="Z339" i="19" s="1"/>
  <c r="L208" i="19"/>
  <c r="Z208" i="19" s="1"/>
  <c r="L135" i="19"/>
  <c r="Z135" i="19" s="1"/>
  <c r="L316" i="19"/>
  <c r="Z316" i="19" s="1"/>
  <c r="L206" i="19"/>
  <c r="Z206" i="19" s="1"/>
  <c r="L321" i="19"/>
  <c r="Z321" i="19" s="1"/>
  <c r="L218" i="19"/>
  <c r="Z218" i="19" s="1"/>
  <c r="L145" i="19"/>
  <c r="Z145" i="19" s="1"/>
  <c r="L202" i="19"/>
  <c r="Z202" i="19" s="1"/>
  <c r="L214" i="19"/>
  <c r="Z214" i="19" s="1"/>
  <c r="L320" i="19"/>
  <c r="Z320" i="19" s="1"/>
  <c r="L225" i="19"/>
  <c r="Z225" i="19" s="1"/>
  <c r="L317" i="19"/>
  <c r="Z317" i="19" s="1"/>
  <c r="L143" i="19"/>
  <c r="Z143" i="19" s="1"/>
  <c r="L147" i="19"/>
  <c r="Z147" i="19" s="1"/>
  <c r="L159" i="19"/>
  <c r="Z159" i="19" s="1"/>
  <c r="L220" i="19"/>
  <c r="Z220" i="19" s="1"/>
  <c r="L219" i="19"/>
  <c r="Z219" i="19" s="1"/>
  <c r="L148" i="19"/>
  <c r="Z148" i="19" s="1"/>
  <c r="L322" i="19"/>
  <c r="Z322" i="19" s="1"/>
  <c r="L150" i="19"/>
  <c r="Z150" i="19" s="1"/>
  <c r="T327" i="19"/>
  <c r="P363" i="19"/>
  <c r="AK243" i="19"/>
  <c r="AK242" i="19"/>
  <c r="AK265" i="19"/>
  <c r="AK250" i="19"/>
  <c r="AK253" i="19"/>
  <c r="AK245" i="19"/>
  <c r="AK235" i="19"/>
  <c r="AK234" i="19"/>
  <c r="AY270" i="19" l="1"/>
  <c r="R231" i="19"/>
  <c r="R327" i="19"/>
  <c r="AQ238" i="19"/>
  <c r="AK238" i="19"/>
  <c r="D35" i="12"/>
  <c r="P364" i="19"/>
  <c r="Z311" i="19"/>
  <c r="L367" i="19"/>
  <c r="L368" i="19" s="1"/>
  <c r="AI241" i="19"/>
  <c r="AI141" i="19"/>
  <c r="BA141" i="19" s="1"/>
  <c r="AI154" i="19"/>
  <c r="BA154" i="19" s="1"/>
  <c r="BA398" i="19"/>
  <c r="AI140" i="19"/>
  <c r="BA140" i="19" s="1"/>
  <c r="AI155" i="19"/>
  <c r="BA155" i="19" s="1"/>
  <c r="AI133" i="19"/>
  <c r="F37" i="12"/>
  <c r="T397" i="19"/>
  <c r="T340" i="19" s="1"/>
  <c r="T347" i="19" s="1"/>
  <c r="T349" i="19" s="1"/>
  <c r="T369" i="19" s="1"/>
  <c r="AM238" i="19"/>
  <c r="AM371" i="19" s="1"/>
  <c r="AM372" i="19" s="1"/>
  <c r="AM401" i="19" s="1"/>
  <c r="AQ371" i="19"/>
  <c r="AQ372" i="19" s="1"/>
  <c r="AQ401" i="19" s="1"/>
  <c r="AK371" i="19"/>
  <c r="AK372" i="19" s="1"/>
  <c r="AK401" i="19" s="1"/>
  <c r="L365" i="19"/>
  <c r="Z127" i="19"/>
  <c r="AI275" i="19"/>
  <c r="BA275" i="19" s="1"/>
  <c r="AI274" i="19"/>
  <c r="BA274" i="19" s="1"/>
  <c r="AI169" i="19"/>
  <c r="AI229" i="19"/>
  <c r="BA229" i="19" s="1"/>
  <c r="BA399" i="19"/>
  <c r="AI342" i="19"/>
  <c r="BA342" i="19" s="1"/>
  <c r="AI345" i="19"/>
  <c r="BA345" i="19" s="1"/>
  <c r="AI330" i="19"/>
  <c r="AI341" i="19"/>
  <c r="BA341" i="19" s="1"/>
  <c r="AI277" i="19"/>
  <c r="BA277" i="19" s="1"/>
  <c r="AI276" i="19"/>
  <c r="BA276" i="19" s="1"/>
  <c r="D102" i="12"/>
  <c r="N370" i="19"/>
  <c r="X370" i="19"/>
  <c r="D107" i="12"/>
  <c r="AU244" i="19"/>
  <c r="AU248" i="19" s="1"/>
  <c r="AU258" i="19"/>
  <c r="AU259" i="19"/>
  <c r="AU142" i="19"/>
  <c r="AU161" i="19" s="1"/>
  <c r="AU165" i="19" s="1"/>
  <c r="AU257" i="19"/>
  <c r="V370" i="19"/>
  <c r="D106" i="12"/>
  <c r="R363" i="19"/>
  <c r="AS238" i="19"/>
  <c r="AS371" i="19" s="1"/>
  <c r="AS372" i="19" s="1"/>
  <c r="AS401" i="19" s="1"/>
  <c r="AO235" i="19"/>
  <c r="AO245" i="19"/>
  <c r="AO234" i="19"/>
  <c r="AO242" i="19"/>
  <c r="AO265" i="19"/>
  <c r="AO250" i="19"/>
  <c r="AO253" i="19"/>
  <c r="AO243" i="19"/>
  <c r="AU255" i="19" l="1"/>
  <c r="AO238" i="19"/>
  <c r="F107" i="12"/>
  <c r="X400" i="19"/>
  <c r="AQ142" i="19"/>
  <c r="AQ161" i="19" s="1"/>
  <c r="AQ165" i="19" s="1"/>
  <c r="AQ259" i="19"/>
  <c r="AQ244" i="19"/>
  <c r="AQ248" i="19" s="1"/>
  <c r="AQ258" i="19"/>
  <c r="AQ257" i="19"/>
  <c r="BA133" i="19"/>
  <c r="AI363" i="19"/>
  <c r="AI364" i="19" s="1"/>
  <c r="AS259" i="19"/>
  <c r="AS142" i="19"/>
  <c r="AS161" i="19" s="1"/>
  <c r="AS165" i="19" s="1"/>
  <c r="AS257" i="19"/>
  <c r="AS258" i="19"/>
  <c r="AS244" i="19"/>
  <c r="AS248" i="19" s="1"/>
  <c r="F106" i="12"/>
  <c r="V400" i="19"/>
  <c r="N400" i="19"/>
  <c r="F102" i="12"/>
  <c r="AM259" i="19"/>
  <c r="AM244" i="19"/>
  <c r="AM248" i="19" s="1"/>
  <c r="AM257" i="19"/>
  <c r="AM142" i="19"/>
  <c r="AM161" i="19" s="1"/>
  <c r="AM165" i="19" s="1"/>
  <c r="AM258" i="19"/>
  <c r="F35" i="12"/>
  <c r="P397" i="19"/>
  <c r="P340" i="19" s="1"/>
  <c r="P347" i="19" s="1"/>
  <c r="P349" i="19" s="1"/>
  <c r="P369" i="19" s="1"/>
  <c r="AO371" i="19"/>
  <c r="AO372" i="19" s="1"/>
  <c r="AO401" i="19" s="1"/>
  <c r="R364" i="19"/>
  <c r="D36" i="12"/>
  <c r="AU267" i="19"/>
  <c r="AU270" i="19" s="1"/>
  <c r="BA330" i="19"/>
  <c r="L366" i="19"/>
  <c r="D56" i="12"/>
  <c r="D64" i="12" s="1"/>
  <c r="Z365" i="19"/>
  <c r="T370" i="19"/>
  <c r="D105" i="12"/>
  <c r="BA241" i="19"/>
  <c r="AI231" i="19"/>
  <c r="BA231" i="19" s="1"/>
  <c r="BA169" i="19"/>
  <c r="AK142" i="19"/>
  <c r="AK161" i="19" s="1"/>
  <c r="AK165" i="19" s="1"/>
  <c r="AK257" i="19"/>
  <c r="AK258" i="19"/>
  <c r="AK259" i="19"/>
  <c r="AK244" i="19"/>
  <c r="AK248" i="19" s="1"/>
  <c r="D78" i="12"/>
  <c r="D86" i="12" s="1"/>
  <c r="Z367" i="19"/>
  <c r="AM255" i="19" l="1"/>
  <c r="AQ267" i="19"/>
  <c r="AS255" i="19"/>
  <c r="AK255" i="19"/>
  <c r="AM267" i="19"/>
  <c r="AM270" i="19" s="1"/>
  <c r="AO142" i="19"/>
  <c r="AO161" i="19" s="1"/>
  <c r="AO165" i="19" s="1"/>
  <c r="AO257" i="19"/>
  <c r="AO244" i="19"/>
  <c r="AO248" i="19" s="1"/>
  <c r="AO259" i="19"/>
  <c r="AO258" i="19"/>
  <c r="P370" i="19"/>
  <c r="D103" i="12"/>
  <c r="N242" i="19"/>
  <c r="N253" i="19"/>
  <c r="N245" i="19"/>
  <c r="N250" i="19"/>
  <c r="N243" i="19"/>
  <c r="N235" i="19"/>
  <c r="N234" i="19"/>
  <c r="N265" i="19"/>
  <c r="Z366" i="19"/>
  <c r="L398" i="19"/>
  <c r="F56" i="12"/>
  <c r="F64" i="12" s="1"/>
  <c r="V250" i="19"/>
  <c r="V235" i="19"/>
  <c r="V243" i="19"/>
  <c r="V265" i="19"/>
  <c r="V245" i="19"/>
  <c r="V242" i="19"/>
  <c r="V253" i="19"/>
  <c r="V234" i="19"/>
  <c r="AS267" i="19"/>
  <c r="X245" i="19"/>
  <c r="X234" i="19"/>
  <c r="X265" i="19"/>
  <c r="X242" i="19"/>
  <c r="X253" i="19"/>
  <c r="X243" i="19"/>
  <c r="X235" i="19"/>
  <c r="X250" i="19"/>
  <c r="L399" i="19"/>
  <c r="Z368" i="19"/>
  <c r="F78" i="12"/>
  <c r="F86" i="12" s="1"/>
  <c r="AK267" i="19"/>
  <c r="T400" i="19"/>
  <c r="F105" i="12"/>
  <c r="R397" i="19"/>
  <c r="R340" i="19" s="1"/>
  <c r="R347" i="19" s="1"/>
  <c r="R349" i="19" s="1"/>
  <c r="R369" i="19" s="1"/>
  <c r="F36" i="12"/>
  <c r="BA363" i="19"/>
  <c r="AQ255" i="19"/>
  <c r="AQ270" i="19" s="1"/>
  <c r="C16" i="35" s="1"/>
  <c r="K16" i="35" s="1"/>
  <c r="V238" i="19" l="1"/>
  <c r="V371" i="19" s="1"/>
  <c r="N238" i="19"/>
  <c r="N371" i="19" s="1"/>
  <c r="N372" i="19" s="1"/>
  <c r="AS270" i="19"/>
  <c r="C18" i="35" s="1"/>
  <c r="K18" i="35" s="1"/>
  <c r="AO255" i="19"/>
  <c r="AK270" i="19"/>
  <c r="F103" i="12"/>
  <c r="P400" i="19"/>
  <c r="T250" i="19"/>
  <c r="T242" i="19"/>
  <c r="T234" i="19"/>
  <c r="T245" i="19"/>
  <c r="T265" i="19"/>
  <c r="T253" i="19"/>
  <c r="T235" i="19"/>
  <c r="T243" i="19"/>
  <c r="L276" i="19"/>
  <c r="Z276" i="19" s="1"/>
  <c r="L342" i="19"/>
  <c r="Z342" i="19" s="1"/>
  <c r="L229" i="19"/>
  <c r="L330" i="19"/>
  <c r="L324" i="19"/>
  <c r="L341" i="19"/>
  <c r="Z341" i="19" s="1"/>
  <c r="L169" i="19"/>
  <c r="L274" i="19"/>
  <c r="L277" i="19"/>
  <c r="Z277" i="19" s="1"/>
  <c r="L275" i="19"/>
  <c r="Z275" i="19" s="1"/>
  <c r="L345" i="19"/>
  <c r="Z345" i="19" s="1"/>
  <c r="Z399" i="19"/>
  <c r="AA399" i="19" s="1"/>
  <c r="AO267" i="19"/>
  <c r="R370" i="19"/>
  <c r="D104" i="12"/>
  <c r="AI397" i="19"/>
  <c r="BA364" i="19"/>
  <c r="X238" i="19"/>
  <c r="X371" i="19" s="1"/>
  <c r="L133" i="19"/>
  <c r="L140" i="19"/>
  <c r="Z140" i="19" s="1"/>
  <c r="L154" i="19"/>
  <c r="Z154" i="19" s="1"/>
  <c r="Z398" i="19"/>
  <c r="AA398" i="19" s="1"/>
  <c r="L241" i="19"/>
  <c r="L155" i="19"/>
  <c r="Z155" i="19" s="1"/>
  <c r="L141" i="19"/>
  <c r="Z141" i="19" s="1"/>
  <c r="D122" i="12" l="1"/>
  <c r="AO270" i="19"/>
  <c r="C14" i="35" s="1"/>
  <c r="K14" i="35" s="1"/>
  <c r="V372" i="19"/>
  <c r="F126" i="12" s="1"/>
  <c r="D126" i="12"/>
  <c r="F104" i="12"/>
  <c r="R400" i="19"/>
  <c r="L327" i="19"/>
  <c r="Z274" i="19"/>
  <c r="Z330" i="19"/>
  <c r="P235" i="19"/>
  <c r="P253" i="19"/>
  <c r="P243" i="19"/>
  <c r="P245" i="19"/>
  <c r="P250" i="19"/>
  <c r="P265" i="19"/>
  <c r="P242" i="19"/>
  <c r="P234" i="19"/>
  <c r="AI340" i="19"/>
  <c r="BA397" i="19"/>
  <c r="Z169" i="19"/>
  <c r="L231" i="19"/>
  <c r="Z231" i="19" s="1"/>
  <c r="T238" i="19"/>
  <c r="T371" i="19" s="1"/>
  <c r="Z241" i="19"/>
  <c r="Z133" i="19"/>
  <c r="L363" i="19"/>
  <c r="L364" i="19" s="1"/>
  <c r="F122" i="12"/>
  <c r="N401" i="19"/>
  <c r="X372" i="19"/>
  <c r="D127" i="12"/>
  <c r="AI324" i="19"/>
  <c r="Z324" i="19"/>
  <c r="AW324" i="19" s="1"/>
  <c r="AW327" i="19" s="1"/>
  <c r="AW349" i="19" s="1"/>
  <c r="AW369" i="19" s="1"/>
  <c r="AW370" i="19" s="1"/>
  <c r="AW400" i="19" s="1"/>
  <c r="V401" i="19" l="1"/>
  <c r="V142" i="19" s="1"/>
  <c r="V161" i="19" s="1"/>
  <c r="V165" i="19" s="1"/>
  <c r="P238" i="19"/>
  <c r="P371" i="19" s="1"/>
  <c r="P372" i="19" s="1"/>
  <c r="V258" i="19"/>
  <c r="R245" i="19"/>
  <c r="R253" i="19"/>
  <c r="R242" i="19"/>
  <c r="R265" i="19"/>
  <c r="R243" i="19"/>
  <c r="R235" i="19"/>
  <c r="R250" i="19"/>
  <c r="R234" i="19"/>
  <c r="AW265" i="19"/>
  <c r="AW235" i="19"/>
  <c r="AW243" i="19"/>
  <c r="AW245" i="19"/>
  <c r="AW234" i="19"/>
  <c r="AW253" i="19"/>
  <c r="AW250" i="19"/>
  <c r="AW242" i="19"/>
  <c r="N244" i="19"/>
  <c r="N248" i="19" s="1"/>
  <c r="N259" i="19"/>
  <c r="N257" i="19"/>
  <c r="N258" i="19"/>
  <c r="N142" i="19"/>
  <c r="N161" i="19" s="1"/>
  <c r="N165" i="19" s="1"/>
  <c r="N255" i="19" s="1"/>
  <c r="X401" i="19"/>
  <c r="F127" i="12"/>
  <c r="AI327" i="19"/>
  <c r="BA324" i="19"/>
  <c r="Z363" i="19"/>
  <c r="D33" i="12"/>
  <c r="D41" i="12" s="1"/>
  <c r="D125" i="12"/>
  <c r="T372" i="19"/>
  <c r="BA340" i="19"/>
  <c r="AI347" i="19"/>
  <c r="BA347" i="19" s="1"/>
  <c r="Z327" i="19"/>
  <c r="V244" i="19" l="1"/>
  <c r="V248" i="19" s="1"/>
  <c r="V255" i="19" s="1"/>
  <c r="V259" i="19"/>
  <c r="V257" i="19"/>
  <c r="D123" i="12"/>
  <c r="R238" i="19"/>
  <c r="R371" i="19" s="1"/>
  <c r="AW238" i="19"/>
  <c r="AW371" i="19" s="1"/>
  <c r="AW372" i="19" s="1"/>
  <c r="AW401" i="19" s="1"/>
  <c r="AW142" i="19" s="1"/>
  <c r="AW161" i="19" s="1"/>
  <c r="AW165" i="19" s="1"/>
  <c r="AI349" i="19"/>
  <c r="BA327" i="19"/>
  <c r="P401" i="19"/>
  <c r="F123" i="12"/>
  <c r="N267" i="19"/>
  <c r="N270" i="19" s="1"/>
  <c r="D20" i="27" s="1"/>
  <c r="F125" i="12"/>
  <c r="T401" i="19"/>
  <c r="Z364" i="19"/>
  <c r="L397" i="19"/>
  <c r="F33" i="12"/>
  <c r="F41" i="12" s="1"/>
  <c r="X259" i="19"/>
  <c r="X244" i="19"/>
  <c r="X248" i="19" s="1"/>
  <c r="X257" i="19"/>
  <c r="X258" i="19"/>
  <c r="X142" i="19"/>
  <c r="X161" i="19" s="1"/>
  <c r="X165" i="19" s="1"/>
  <c r="V267" i="19" l="1"/>
  <c r="V270" i="19" s="1"/>
  <c r="D28" i="27" s="1"/>
  <c r="X255" i="19"/>
  <c r="AW244" i="19"/>
  <c r="AW248" i="19" s="1"/>
  <c r="AW255" i="19" s="1"/>
  <c r="AW258" i="19"/>
  <c r="AW259" i="19"/>
  <c r="AW257" i="19"/>
  <c r="T244" i="19"/>
  <c r="T248" i="19" s="1"/>
  <c r="T142" i="19"/>
  <c r="T161" i="19" s="1"/>
  <c r="T165" i="19" s="1"/>
  <c r="T258" i="19"/>
  <c r="T257" i="19"/>
  <c r="T259" i="19"/>
  <c r="AI369" i="19"/>
  <c r="AI370" i="19" s="1"/>
  <c r="BA349" i="19"/>
  <c r="X267" i="19"/>
  <c r="L340" i="19"/>
  <c r="Z397" i="19"/>
  <c r="AA397" i="19" s="1"/>
  <c r="P258" i="19"/>
  <c r="P257" i="19"/>
  <c r="P244" i="19"/>
  <c r="P248" i="19" s="1"/>
  <c r="P259" i="19"/>
  <c r="P142" i="19"/>
  <c r="P161" i="19" s="1"/>
  <c r="P165" i="19" s="1"/>
  <c r="D124" i="12"/>
  <c r="R372" i="19"/>
  <c r="X270" i="19" l="1"/>
  <c r="D30" i="27" s="1"/>
  <c r="T255" i="19"/>
  <c r="AW267" i="19"/>
  <c r="AW270" i="19" s="1"/>
  <c r="P267" i="19"/>
  <c r="Z340" i="19"/>
  <c r="L347" i="19"/>
  <c r="BA369" i="19"/>
  <c r="P255" i="19"/>
  <c r="T267" i="19"/>
  <c r="F124" i="12"/>
  <c r="R401" i="19"/>
  <c r="T270" i="19" l="1"/>
  <c r="D26" i="27" s="1"/>
  <c r="P270" i="19"/>
  <c r="D22" i="27" s="1"/>
  <c r="AI400" i="19"/>
  <c r="BA370" i="19"/>
  <c r="Z347" i="19"/>
  <c r="L349" i="19"/>
  <c r="R142" i="19"/>
  <c r="R161" i="19" s="1"/>
  <c r="R165" i="19" s="1"/>
  <c r="R244" i="19"/>
  <c r="R248" i="19" s="1"/>
  <c r="R257" i="19"/>
  <c r="R258" i="19"/>
  <c r="R259" i="19"/>
  <c r="R255" i="19" l="1"/>
  <c r="AI250" i="19"/>
  <c r="BA250" i="19" s="1"/>
  <c r="AI243" i="19"/>
  <c r="BA243" i="19" s="1"/>
  <c r="BA400" i="19"/>
  <c r="AI265" i="19"/>
  <c r="BA265" i="19" s="1"/>
  <c r="AI245" i="19"/>
  <c r="BA245" i="19" s="1"/>
  <c r="AI242" i="19"/>
  <c r="AI234" i="19"/>
  <c r="AI253" i="19"/>
  <c r="BA253" i="19" s="1"/>
  <c r="AI235" i="19"/>
  <c r="BA235" i="19" s="1"/>
  <c r="R267" i="19"/>
  <c r="L369" i="19"/>
  <c r="L370" i="19" s="1"/>
  <c r="Z349" i="19"/>
  <c r="R270" i="19" l="1"/>
  <c r="D24" i="27" s="1"/>
  <c r="D101" i="12"/>
  <c r="D109" i="12" s="1"/>
  <c r="Z369" i="19"/>
  <c r="AI238" i="19"/>
  <c r="BA234" i="19"/>
  <c r="BA242" i="19"/>
  <c r="F101" i="12" l="1"/>
  <c r="F109" i="12" s="1"/>
  <c r="L400" i="19"/>
  <c r="Z370" i="19"/>
  <c r="BA238" i="19"/>
  <c r="AI371" i="19"/>
  <c r="AI372" i="19" s="1"/>
  <c r="Z400" i="19" l="1"/>
  <c r="AA400" i="19" s="1"/>
  <c r="L253" i="19"/>
  <c r="Z253" i="19" s="1"/>
  <c r="L235" i="19"/>
  <c r="Z235" i="19" s="1"/>
  <c r="L234" i="19"/>
  <c r="L245" i="19"/>
  <c r="Z245" i="19" s="1"/>
  <c r="L243" i="19"/>
  <c r="Z243" i="19" s="1"/>
  <c r="L265" i="19"/>
  <c r="Z265" i="19" s="1"/>
  <c r="L250" i="19"/>
  <c r="Z250" i="19" s="1"/>
  <c r="L242" i="19"/>
  <c r="BA371" i="19"/>
  <c r="L238" i="19" l="1"/>
  <c r="Z234" i="19"/>
  <c r="AI401" i="19"/>
  <c r="BA372" i="19"/>
  <c r="Z242" i="19"/>
  <c r="AI244" i="19" l="1"/>
  <c r="AI258" i="19"/>
  <c r="BA258" i="19" s="1"/>
  <c r="BA401" i="19"/>
  <c r="AI257" i="19"/>
  <c r="AI259" i="19"/>
  <c r="BA259" i="19" s="1"/>
  <c r="AI142" i="19"/>
  <c r="Z238" i="19"/>
  <c r="L371" i="19"/>
  <c r="L372" i="19" s="1"/>
  <c r="AI267" i="19" l="1"/>
  <c r="BA267" i="19" s="1"/>
  <c r="BA257" i="19"/>
  <c r="D121" i="12"/>
  <c r="D129" i="12" s="1"/>
  <c r="Z371" i="19"/>
  <c r="BA142" i="19"/>
  <c r="AI161" i="19"/>
  <c r="BA244" i="19"/>
  <c r="AI248" i="19"/>
  <c r="BA248" i="19" s="1"/>
  <c r="BA161" i="19" l="1"/>
  <c r="AI165" i="19"/>
  <c r="L401" i="19"/>
  <c r="Z372" i="19"/>
  <c r="F121" i="12"/>
  <c r="F129" i="12" s="1"/>
  <c r="L259" i="19" l="1"/>
  <c r="Z259" i="19" s="1"/>
  <c r="L244" i="19"/>
  <c r="L258" i="19"/>
  <c r="Z258" i="19" s="1"/>
  <c r="Z401" i="19"/>
  <c r="AA401" i="19" s="1"/>
  <c r="L257" i="19"/>
  <c r="L142" i="19"/>
  <c r="BA165" i="19"/>
  <c r="AI255" i="19"/>
  <c r="AI270" i="19" l="1"/>
  <c r="BA255" i="19"/>
  <c r="Z244" i="19"/>
  <c r="L248" i="19"/>
  <c r="Z248" i="19" s="1"/>
  <c r="Z142" i="19"/>
  <c r="L161" i="19"/>
  <c r="Z257" i="19"/>
  <c r="L267" i="19"/>
  <c r="Z267" i="19" s="1"/>
  <c r="Z161" i="19" l="1"/>
  <c r="L165" i="19"/>
  <c r="AI272" i="19"/>
  <c r="BA273" i="19" s="1"/>
  <c r="BA270" i="19"/>
  <c r="Z165" i="19" l="1"/>
  <c r="L255" i="19"/>
  <c r="Z255" i="19" l="1"/>
  <c r="L270" i="19"/>
  <c r="Z270" i="19" l="1"/>
  <c r="D18" i="27"/>
  <c r="D32" i="27" l="1"/>
  <c r="F18" i="27" s="1"/>
  <c r="D36" i="27" l="1"/>
  <c r="F28" i="27"/>
  <c r="F20" i="27"/>
  <c r="F30" i="27"/>
  <c r="F26" i="27"/>
  <c r="F22" i="27"/>
  <c r="F24" i="27"/>
  <c r="F32" i="27" l="1"/>
  <c r="Y36" i="27" l="1"/>
  <c r="L28" i="27" s="1"/>
  <c r="Y37" i="27"/>
  <c r="L30" i="27" s="1"/>
  <c r="P30" i="27" l="1"/>
  <c r="R30" i="27" s="1"/>
  <c r="C20" i="35"/>
  <c r="P28" i="27"/>
  <c r="R28" i="27" s="1"/>
  <c r="C24" i="35" l="1"/>
  <c r="K20" i="35"/>
  <c r="K24" i="35" s="1"/>
  <c r="Y35" i="27" l="1"/>
  <c r="L26" i="27" s="1"/>
  <c r="P26" i="27" l="1"/>
  <c r="R26" i="27" s="1"/>
  <c r="Y34" i="27" l="1"/>
  <c r="L24" i="27" s="1"/>
  <c r="P24" i="27" l="1"/>
  <c r="R24" i="27" s="1"/>
  <c r="Y32" i="27" l="1"/>
  <c r="L20" i="27" s="1"/>
  <c r="P20" i="27" l="1"/>
  <c r="R20" i="27" s="1"/>
  <c r="Y33" i="27" l="1"/>
  <c r="L22" i="27" s="1"/>
  <c r="P22" i="27" l="1"/>
  <c r="R22" i="27" s="1"/>
  <c r="Y31" i="27" l="1"/>
  <c r="L18" i="27" s="1"/>
  <c r="L32" i="27" l="1"/>
  <c r="N18" i="27" s="1"/>
  <c r="P18" i="27"/>
  <c r="Y40" i="27"/>
  <c r="L36" i="27" l="1"/>
  <c r="N30" i="27"/>
  <c r="N28" i="27"/>
  <c r="N26" i="27"/>
  <c r="N24" i="27"/>
  <c r="N20" i="27"/>
  <c r="N22" i="27"/>
  <c r="P32" i="27"/>
  <c r="R32" i="27" s="1"/>
  <c r="R18" i="27"/>
  <c r="N32" i="27" l="1"/>
  <c r="P36" i="27"/>
  <c r="R36" i="27" s="1"/>
</calcChain>
</file>

<file path=xl/sharedStrings.xml><?xml version="1.0" encoding="utf-8"?>
<sst xmlns="http://schemas.openxmlformats.org/spreadsheetml/2006/main" count="1821" uniqueCount="694">
  <si>
    <t>Consumption w/ Fire</t>
  </si>
  <si>
    <t>The maximum hour extra capacity factors in column 5 are determined on the next page.</t>
  </si>
  <si>
    <t>FACTOR 15A.  ALLOCATION OF CASH WORKING CAPITAL</t>
  </si>
  <si>
    <t>FACTOR 15.  ALLOCATION OF ADMINISTRATIVE AND GENERAL EXPENSES</t>
  </si>
  <si>
    <t>15A</t>
  </si>
  <si>
    <t>CASH WORKING CAPITAL FOR FACTOR 15A</t>
  </si>
  <si>
    <t>FACTOR 15A</t>
  </si>
  <si>
    <t xml:space="preserve"> KENTUCKY AMERICAN WATER COMPANY</t>
  </si>
  <si>
    <t>KENTUCKY AMERICAN WATER COMPANY</t>
  </si>
  <si>
    <t>Annual</t>
  </si>
  <si>
    <t>Sendout</t>
  </si>
  <si>
    <t>Peak Day</t>
  </si>
  <si>
    <t>(MG)</t>
  </si>
  <si>
    <t>Date</t>
  </si>
  <si>
    <t>8/21</t>
  </si>
  <si>
    <t>6/15</t>
  </si>
  <si>
    <t>8/7</t>
  </si>
  <si>
    <t>8/2</t>
  </si>
  <si>
    <t>6/29</t>
  </si>
  <si>
    <t>7/8</t>
  </si>
  <si>
    <t>8/5</t>
  </si>
  <si>
    <t>6/19</t>
  </si>
  <si>
    <t>6/13</t>
  </si>
  <si>
    <t>8/11</t>
  </si>
  <si>
    <t>9/14</t>
  </si>
  <si>
    <t>7/18</t>
  </si>
  <si>
    <t>6/30</t>
  </si>
  <si>
    <t>7/14</t>
  </si>
  <si>
    <t>6/16</t>
  </si>
  <si>
    <t>7/13</t>
  </si>
  <si>
    <t>7/9</t>
  </si>
  <si>
    <t>GPM X 60 Min. X 10 Hrs.</t>
  </si>
  <si>
    <t>*</t>
  </si>
  <si>
    <t>&gt;12</t>
  </si>
  <si>
    <t>Demand*</t>
  </si>
  <si>
    <t>*  Relative Demand for Private Fire lines and hydrants are calculated at 1.5 times the Public Fire Relative</t>
  </si>
  <si>
    <t xml:space="preserve">   Demand.</t>
  </si>
  <si>
    <t>4 -1/4 inch w/ 2-2 1/2, 1-4 1/2</t>
  </si>
  <si>
    <t>5 -1/4 inch w/ 2-2 1/2, 1-4 1/2</t>
  </si>
  <si>
    <t xml:space="preserve">  -OPERATION-                            </t>
  </si>
  <si>
    <t xml:space="preserve">          Total Operation                </t>
  </si>
  <si>
    <t xml:space="preserve">  -MAINTENANCE-                          </t>
  </si>
  <si>
    <t xml:space="preserve">          Total Maintenance              </t>
  </si>
  <si>
    <t xml:space="preserve">  Total Power and Pumping                </t>
  </si>
  <si>
    <t xml:space="preserve">  Total Water Treatment Expenses</t>
  </si>
  <si>
    <t xml:space="preserve">  Total Transmission and Distribution    </t>
  </si>
  <si>
    <t xml:space="preserve">  Total Customers' Accounting and        </t>
  </si>
  <si>
    <t xml:space="preserve">   Collecting Expenses                   </t>
  </si>
  <si>
    <t xml:space="preserve">              Customer Related</t>
  </si>
  <si>
    <t xml:space="preserve">              Water Quality</t>
  </si>
  <si>
    <t xml:space="preserve">              Other</t>
  </si>
  <si>
    <t xml:space="preserve">  Total Administrative and General       </t>
  </si>
  <si>
    <t xml:space="preserve">   Expenses                              </t>
  </si>
  <si>
    <t xml:space="preserve">  Total Operation and Maintenance        </t>
  </si>
  <si>
    <t xml:space="preserve">503  DEPRECIATION EXPENSE                </t>
  </si>
  <si>
    <t xml:space="preserve">           Total Depreciation Expense</t>
  </si>
  <si>
    <t>Net</t>
  </si>
  <si>
    <t>Charge-Offs</t>
  </si>
  <si>
    <t>FACTOR 20. ALLOCATION OF UNCOLLECTIBLE ACCOUNTS</t>
  </si>
  <si>
    <t xml:space="preserve">              AFUDC</t>
  </si>
  <si>
    <t xml:space="preserve">              Acquisition Adjustment</t>
  </si>
  <si>
    <t xml:space="preserve">         Total Amortizations</t>
  </si>
  <si>
    <t xml:space="preserve">       Federal and State Payroll Taxes   </t>
  </si>
  <si>
    <t xml:space="preserve">       Property Taxes                    </t>
  </si>
  <si>
    <t xml:space="preserve">Utility Operating Income Available       </t>
  </si>
  <si>
    <t xml:space="preserve"> for Return                              </t>
  </si>
  <si>
    <t xml:space="preserve">     Total Other Water Revenues</t>
  </si>
  <si>
    <t xml:space="preserve">     Total Depreciable Plant Net of Accumulated Depreciation,</t>
  </si>
  <si>
    <t xml:space="preserve">          Contributions and Advances</t>
  </si>
  <si>
    <t>OTHER RATE BASE ELEMENTS</t>
  </si>
  <si>
    <t>Utility Plant Acquisition Adjustments</t>
  </si>
  <si>
    <t>CWIP - Water Treatment Plant and Supply Mains</t>
  </si>
  <si>
    <t>CWIP - Transmission Mains</t>
  </si>
  <si>
    <t>CWIP - Reservoirs and Standpipes</t>
  </si>
  <si>
    <t>CWIP - Meters and Meter Installations</t>
  </si>
  <si>
    <t>CWIP - Services</t>
  </si>
  <si>
    <t>CWIP - Hydrants</t>
  </si>
  <si>
    <t>CWIP - Other</t>
  </si>
  <si>
    <t>Working Capital Allowance</t>
  </si>
  <si>
    <t>Deferred Income Taxes</t>
  </si>
  <si>
    <t xml:space="preserve">Deferred Investment Tax Credits </t>
  </si>
  <si>
    <t xml:space="preserve">     Source of Supply</t>
  </si>
  <si>
    <t>Other Rate Base Elements</t>
  </si>
  <si>
    <t xml:space="preserve">TRANSMISSION AND DISTRIBUTION EXPENSES   </t>
  </si>
  <si>
    <t xml:space="preserve">WATER TREATMENT                          </t>
  </si>
  <si>
    <t xml:space="preserve">POWER AND PUMPING EXPENSES               </t>
  </si>
  <si>
    <t xml:space="preserve">SOURCE OF SUPPLY EXPENSES                </t>
  </si>
  <si>
    <t xml:space="preserve">OPERATION AND MAINTENANCE EXPENSES       </t>
  </si>
  <si>
    <t>Ref.</t>
  </si>
  <si>
    <t>Cost of</t>
  </si>
  <si>
    <t>Account</t>
  </si>
  <si>
    <t>Private</t>
  </si>
  <si>
    <t>Private Fire</t>
  </si>
  <si>
    <t>Public Fire</t>
  </si>
  <si>
    <t>RATE BASE</t>
  </si>
  <si>
    <t>Authorities</t>
  </si>
  <si>
    <t>FACTOR 5.  ALLOCATION OF COSTS ASSOCIATED WITH STORAGE FACILITIES, cont.</t>
  </si>
  <si>
    <t>FACTOR 6. ALLOCATION OF COSTS ASSOCIATED WITH POWER AND PUMPING FACILITIES.</t>
  </si>
  <si>
    <t>FACTOR 7. ALLOCATION OF COSTS ASSOCIATED WITH TRANSMISSION AND DISTRIBUTION MAINS.</t>
  </si>
  <si>
    <t>FACTOR 8. ALLOCATION OF COSTS ASSOCIATED WITH FIRE HYDRANTS.</t>
  </si>
  <si>
    <t>FACTOR 13.  ALLOCATION OF BILLING AND COLLECTING COSTS.</t>
  </si>
  <si>
    <t>FACTOR 14.  ALLOCATION OF METER READING COSTS.</t>
  </si>
  <si>
    <t xml:space="preserve">FACTOR 17.  ALLOCATION OF ORGANIZATION, FRANCHISES AND CONSENTS, </t>
  </si>
  <si>
    <t>FACTOR 18.  ALLOCATION OF INCOME TAXES AND INCOME AVAILABLE FOR RETURN.</t>
  </si>
  <si>
    <t>FACTOR 11</t>
  </si>
  <si>
    <t>FACTOR 12</t>
  </si>
  <si>
    <t>FACTOR 15</t>
  </si>
  <si>
    <t>T&amp;D OP BASIS FOR FACTOR 11</t>
  </si>
  <si>
    <t>T&amp;D Mnt BASIS FOR FACTOR 12</t>
  </si>
  <si>
    <t>A&amp;G BASIS FOR FACTOR 15</t>
  </si>
  <si>
    <t>LABOR BASIS FOR FACTOR 16</t>
  </si>
  <si>
    <t>FACTOR 16</t>
  </si>
  <si>
    <t>UPIS BASIS FOR FACTOR 17</t>
  </si>
  <si>
    <t>FACTOR 17</t>
  </si>
  <si>
    <t>FACTOR 18</t>
  </si>
  <si>
    <t>RATE BASE BASIS FOR FACTOR 18</t>
  </si>
  <si>
    <t>TOTAL COS BASIS FOR FACTOR 19</t>
  </si>
  <si>
    <t>FACTOR 19</t>
  </si>
  <si>
    <t>Factors are based on the weighting of the maximum daily consumption with fire, Factor 3, and the maximum hour consumption, Factor 5, for each customer classification, as follows:</t>
  </si>
  <si>
    <t>Costs are assigned directly to Public Fire Protection.</t>
  </si>
  <si>
    <t xml:space="preserve">   Extra Capacity</t>
  </si>
  <si>
    <t>Factors are based on the allocation of direct labor expense.</t>
  </si>
  <si>
    <t>The public and private fire protection allocation factors in column 7 on the previous page are based on the relative potential demands (see Schedule E).</t>
  </si>
  <si>
    <t>The public and private fire protection allocation factors in column 6 on the previous page are based on the relative potential demands (see Schedule E).</t>
  </si>
  <si>
    <t xml:space="preserve"> MISCELLANEOUS INTANGIBLE PLANT AND OTHER RATE BASE ELEMENTS.</t>
  </si>
  <si>
    <t xml:space="preserve">             Total Public Fire Prorection</t>
  </si>
  <si>
    <t>Private Hydrants</t>
  </si>
  <si>
    <t>TO PRIVATE AND PUBLIC FIRE PROTECTION CUSTOMER CLASSIFICATIONS</t>
  </si>
  <si>
    <t>Table of Factors - Table Name "FACTORS"</t>
  </si>
  <si>
    <t>factor 3</t>
  </si>
  <si>
    <t>factor 4</t>
  </si>
  <si>
    <t>factor 2</t>
  </si>
  <si>
    <t xml:space="preserve">Public </t>
  </si>
  <si>
    <t>KENTUCKY-AMERICAN WATER COMPANY</t>
  </si>
  <si>
    <t/>
  </si>
  <si>
    <t>FACTORS FOR ALLOCATING COST OF SERVICE TO CUSTOMER CLASSIFICATIONS</t>
  </si>
  <si>
    <t>Factors are based on the pro forma test year average daily consumption for each customer classification.</t>
  </si>
  <si>
    <t>Average Daily</t>
  </si>
  <si>
    <t xml:space="preserve">Customer </t>
  </si>
  <si>
    <t>Consumption,</t>
  </si>
  <si>
    <t>Allocation</t>
  </si>
  <si>
    <t>Classification</t>
  </si>
  <si>
    <t>Factor</t>
  </si>
  <si>
    <t>(1)</t>
  </si>
  <si>
    <t xml:space="preserve">    (2)</t>
  </si>
  <si>
    <t>(3)</t>
  </si>
  <si>
    <t>Residential</t>
  </si>
  <si>
    <t>Commercial</t>
  </si>
  <si>
    <t>Industrial</t>
  </si>
  <si>
    <t>7/17</t>
  </si>
  <si>
    <t>Other Public Authority</t>
  </si>
  <si>
    <t>Other Water Utilities</t>
  </si>
  <si>
    <t>Private Fire Protection</t>
  </si>
  <si>
    <t>Public Fire Protection</t>
  </si>
  <si>
    <t xml:space="preserve">   Total</t>
  </si>
  <si>
    <t>FACTOR 2.  ALLOCATION OF COSTS ASSOCIATED WITH FACILITIES SERVING BASE AND</t>
  </si>
  <si>
    <t xml:space="preserve"> MAXIMUM DAY EXTRA CAPACITY FUNCTIONS.</t>
  </si>
  <si>
    <t>Factors are based on the weighting of the factors for average daily consumption (Factor 1) and the factors derived from maximum day extra capacity demand for each customer classification, as follows:</t>
  </si>
  <si>
    <t>Maximum Day</t>
  </si>
  <si>
    <t>Consumption</t>
  </si>
  <si>
    <t>Extra Capacity</t>
  </si>
  <si>
    <t>Weighted</t>
  </si>
  <si>
    <t>Factor 1</t>
  </si>
  <si>
    <t>(2)</t>
  </si>
  <si>
    <t>(3)=(2)x</t>
  </si>
  <si>
    <t>(4)</t>
  </si>
  <si>
    <t>(5)=(4)x</t>
  </si>
  <si>
    <t>(6)=(3)+(5)</t>
  </si>
  <si>
    <t>The derivation of the maximum day extra capacity factors in column 4 and the basis for the column 3 and 5 weightings are presented on the following page.</t>
  </si>
  <si>
    <t>::</t>
  </si>
  <si>
    <t>FACTORS FOR ALLOCATING COST OF SERVICE TO CUSTOMER CLASSIFICATIONS, cont.</t>
  </si>
  <si>
    <t xml:space="preserve"> MAXIMUM DAY EXTRA CAPACITY FUNCTIONS, cont.</t>
  </si>
  <si>
    <t>Maximum Day Extra Capacity</t>
  </si>
  <si>
    <t>Rate of Flow,</t>
  </si>
  <si>
    <t>Factor*</t>
  </si>
  <si>
    <t>Per Day</t>
  </si>
  <si>
    <t>(4)=(2)x(3)</t>
  </si>
  <si>
    <t>(5)</t>
  </si>
  <si>
    <t>Maximum</t>
  </si>
  <si>
    <t>Day</t>
  </si>
  <si>
    <t>Ratio</t>
  </si>
  <si>
    <t>Weight</t>
  </si>
  <si>
    <t>Average Day</t>
  </si>
  <si>
    <t xml:space="preserve"> Extra Capacity</t>
  </si>
  <si>
    <t xml:space="preserve">  Total</t>
  </si>
  <si>
    <t>* Ratio of maximum day to average day minus 1.0.</t>
  </si>
  <si>
    <t>Factors are based on the weighting of the average daily consumption, the maximum day extra capacity demand, and the fire protection demand for each customer classification.</t>
  </si>
  <si>
    <t>Fire Protection</t>
  </si>
  <si>
    <t>Customer</t>
  </si>
  <si>
    <t>(3)=(2) X</t>
  </si>
  <si>
    <t>(5)=(4) X</t>
  </si>
  <si>
    <t>(6)</t>
  </si>
  <si>
    <t>(7)=(6) X</t>
  </si>
  <si>
    <t>(8)=(3)+(5)+(7)</t>
  </si>
  <si>
    <t>Maximum Hour</t>
  </si>
  <si>
    <t>Average Hourly Consumption</t>
  </si>
  <si>
    <t>(4)=(3) X</t>
  </si>
  <si>
    <t>(6)=(5) X</t>
  </si>
  <si>
    <t>(7)</t>
  </si>
  <si>
    <t>(8)=(7) X</t>
  </si>
  <si>
    <t>(9)=(4)+(6)+(8)</t>
  </si>
  <si>
    <t>(GPD)</t>
  </si>
  <si>
    <t>Average Hour</t>
  </si>
  <si>
    <t xml:space="preserve">  Subtotal</t>
  </si>
  <si>
    <t>FACTOR 4.  ALLOCATION OF COSTS ASSOCIATED WITH FACILITIES SERVING BASE AND</t>
  </si>
  <si>
    <t xml:space="preserve"> MAXIMUM HOUR EXTRA CAPACITY FUNCTIONS, cont.</t>
  </si>
  <si>
    <t>(GPM)</t>
  </si>
  <si>
    <t>The maximum hour extra capacity factors in column 5 of the previous page are determined as follows:</t>
  </si>
  <si>
    <t>Average</t>
  </si>
  <si>
    <t>Hourly</t>
  </si>
  <si>
    <t>Maximum Hour Extra Capacity</t>
  </si>
  <si>
    <t>Per Hour</t>
  </si>
  <si>
    <t xml:space="preserve">     Total</t>
  </si>
  <si>
    <t>* Ratio of Maximum Hour To Average Hour Minus 1.0.</t>
  </si>
  <si>
    <t>FACTOR 5.  ALLOCATION OF COSTS ASSOCIATED WITH STORAGE FACILITIES.</t>
  </si>
  <si>
    <t>Factors are based on the weighting of the average hourly consumption, the maximum hour extra capacity demand, and the fire protection demand for each customer classification.</t>
  </si>
  <si>
    <t xml:space="preserve">     Total Other Rate Base Elements</t>
  </si>
  <si>
    <t>Total Original Cost Measure of Value</t>
  </si>
  <si>
    <t>Fire Protection Weight =</t>
  </si>
  <si>
    <t>=</t>
  </si>
  <si>
    <t>General Service Weight =</t>
  </si>
  <si>
    <t>-</t>
  </si>
  <si>
    <t>The weighting of the average hourly consumption and maximum hour extra demand for general service is based on the maximum hour ratio, as follows:</t>
  </si>
  <si>
    <t>Hour</t>
  </si>
  <si>
    <t>Percent</t>
  </si>
  <si>
    <t xml:space="preserve"> Maximum Hour</t>
  </si>
  <si>
    <t>Factors are based on the weighting of the maximum daily consumption, Factor 2, the maximum daily consumption with fire, Factor 3, and the maximum hour consumption, Factor 4, for each customer classification, as follows:</t>
  </si>
  <si>
    <t>Maximum Daily</t>
  </si>
  <si>
    <t>Maximum Hourly</t>
  </si>
  <si>
    <t>Factor 2</t>
  </si>
  <si>
    <t>Factor 3</t>
  </si>
  <si>
    <t>Factor 4</t>
  </si>
  <si>
    <t>(3)=(2)X</t>
  </si>
  <si>
    <t>(5)=(4)X</t>
  </si>
  <si>
    <t>(7)=(6)X</t>
  </si>
  <si>
    <t>(8)=(3)+</t>
  </si>
  <si>
    <t>(5)+(7)</t>
  </si>
  <si>
    <t>Func.</t>
  </si>
  <si>
    <t>base</t>
  </si>
  <si>
    <t>max day</t>
  </si>
  <si>
    <t>max hour</t>
  </si>
  <si>
    <t>private fire</t>
  </si>
  <si>
    <t>public fire</t>
  </si>
  <si>
    <t>The weighting of the factors is based on the horsepower of pumps associated with maximum day facilities, maximum day and fire facilities, and maximum hour facilities, as follows:</t>
  </si>
  <si>
    <t>Horsepower</t>
  </si>
  <si>
    <t>of Pumps</t>
  </si>
  <si>
    <t>Associated with Maximum Day</t>
  </si>
  <si>
    <t>Associated with Maximum Day and Fire</t>
  </si>
  <si>
    <t>Associated with Maximum Hour</t>
  </si>
  <si>
    <t xml:space="preserve">    Total</t>
  </si>
  <si>
    <t>The weighting of the factors is based on the total footage of mains, designated as either transmission mains or distribution mains, as follows:</t>
  </si>
  <si>
    <t>Total Footage</t>
  </si>
  <si>
    <t>of Mains</t>
  </si>
  <si>
    <t>Transmission Mains</t>
  </si>
  <si>
    <t>Distribution Mains</t>
  </si>
  <si>
    <t>Number of</t>
  </si>
  <si>
    <t xml:space="preserve">       Total</t>
  </si>
  <si>
    <t>FACTOR 9.  ALLOCATION OF COSTS ASSOCIATED WITH METERS.</t>
  </si>
  <si>
    <t>Factors are based on the relative cost of meters by size and customer classification, as developed on the following page and summarized below.</t>
  </si>
  <si>
    <t>5/8" Dollar</t>
  </si>
  <si>
    <t>Equivalents</t>
  </si>
  <si>
    <t xml:space="preserve"> </t>
  </si>
  <si>
    <t>FACTOR 10.  ALLOCATION OF COSTS ASSOCIATED WITH SERVICES.</t>
  </si>
  <si>
    <t>Factors are based on the relative cost of services by size and customer classification, as developed on the following page and summarized below.</t>
  </si>
  <si>
    <t>3/4" Dollar</t>
  </si>
  <si>
    <t>BASIS FOR ALLOCATING SERVICE COSTS TO CUSTOMER CLASSIFICATIONS</t>
  </si>
  <si>
    <t>3/4"</t>
  </si>
  <si>
    <t>Sales for Resale</t>
  </si>
  <si>
    <t>Sales for</t>
  </si>
  <si>
    <t>Resale</t>
  </si>
  <si>
    <t>Total</t>
  </si>
  <si>
    <t>Service</t>
  </si>
  <si>
    <t>Dollar</t>
  </si>
  <si>
    <t>Size</t>
  </si>
  <si>
    <t>Equivalent</t>
  </si>
  <si>
    <t>Services</t>
  </si>
  <si>
    <t>Weighting</t>
  </si>
  <si>
    <t>(4)=(2)X(3)</t>
  </si>
  <si>
    <t>(6)=(2)X(5)</t>
  </si>
  <si>
    <t>(8)=(2)X(7)</t>
  </si>
  <si>
    <t>(10)=(2)X(9)</t>
  </si>
  <si>
    <t>(12)=(2)X(11)</t>
  </si>
  <si>
    <t>(14)=(2)X(11)</t>
  </si>
  <si>
    <t xml:space="preserve">  3/4</t>
  </si>
  <si>
    <t xml:space="preserve">   1</t>
  </si>
  <si>
    <t xml:space="preserve"> 1-1/2</t>
  </si>
  <si>
    <t xml:space="preserve">   2</t>
  </si>
  <si>
    <t xml:space="preserve">   4</t>
  </si>
  <si>
    <t xml:space="preserve">   6</t>
  </si>
  <si>
    <t xml:space="preserve">   8</t>
  </si>
  <si>
    <t>Factors are based on the total number of customers.</t>
  </si>
  <si>
    <t>Customers</t>
  </si>
  <si>
    <t>Factors are based on the number of metered customers.</t>
  </si>
  <si>
    <t>Total Metered</t>
  </si>
  <si>
    <t>Factors are based on transmission and distribution operation expenses other than those being allocated, as follows:</t>
  </si>
  <si>
    <t>Transmission</t>
  </si>
  <si>
    <t>and</t>
  </si>
  <si>
    <t>Distribution</t>
  </si>
  <si>
    <t>Operating</t>
  </si>
  <si>
    <t>Expenses</t>
  </si>
  <si>
    <t>ALTERNATE FACTOR 13.  ALLOCATION OF TRANSMISSION AND DISTRIBUTION MAINTENANCE SUPERVISION</t>
  </si>
  <si>
    <t xml:space="preserve"> AND ENGINEERING AND MISCELLANEOUS PLANT.</t>
  </si>
  <si>
    <t>Factors are based on transmission and distribution maintenance expenses other than</t>
  </si>
  <si>
    <t>those being allocated, as follows:</t>
  </si>
  <si>
    <t>Maintenance</t>
  </si>
  <si>
    <t>Public</t>
  </si>
  <si>
    <t>Factors are based on transmission and distribution maintenance expenses other than those being allocated, as follows:</t>
  </si>
  <si>
    <t>Gallons</t>
  </si>
  <si>
    <t>Operation &amp;</t>
  </si>
  <si>
    <t>FACTOR 16.  ALLOCATION OF LABOR RELATED TAXES AND BENEFITS.</t>
  </si>
  <si>
    <t>Direct Labor</t>
  </si>
  <si>
    <t>Expense</t>
  </si>
  <si>
    <t>Factors are based on the allocation of the original cost less depreciation other than those items being allocated, as follows:</t>
  </si>
  <si>
    <t>Original</t>
  </si>
  <si>
    <t>Cost Less</t>
  </si>
  <si>
    <t>Depreciation</t>
  </si>
  <si>
    <t>Factors are based on the allocation of the original cost measure of value rate base as shown on the following pages and summarized below.</t>
  </si>
  <si>
    <t>Cost Measure</t>
  </si>
  <si>
    <t>of Value</t>
  </si>
  <si>
    <t>The factors are based on the allocation of the total cost of service, excluding those items being allocated.</t>
  </si>
  <si>
    <t xml:space="preserve">Total Cost </t>
  </si>
  <si>
    <t>of Service</t>
  </si>
  <si>
    <t>BASIS FOR ALLOCATING METER COSTS TO CUSTOMER CLASSIFICATIONS</t>
  </si>
  <si>
    <t>5/8"</t>
  </si>
  <si>
    <t>Meter</t>
  </si>
  <si>
    <t>Meters</t>
  </si>
  <si>
    <t>5/8</t>
  </si>
  <si>
    <t>1</t>
  </si>
  <si>
    <t>1-1/2</t>
  </si>
  <si>
    <t>2</t>
  </si>
  <si>
    <t>3</t>
  </si>
  <si>
    <t>4</t>
  </si>
  <si>
    <t>6</t>
  </si>
  <si>
    <t>8</t>
  </si>
  <si>
    <t>BASIS FOR ALLOCATING DEMAND RELATED COSTS OF FIRE SERVICE</t>
  </si>
  <si>
    <t>Restrictive</t>
  </si>
  <si>
    <t>Diameters</t>
  </si>
  <si>
    <t>Relative</t>
  </si>
  <si>
    <t>Description</t>
  </si>
  <si>
    <t>Squared</t>
  </si>
  <si>
    <t>Quantity</t>
  </si>
  <si>
    <t>PRIVATE FIRE PROTECTION</t>
  </si>
  <si>
    <t>Fire Lines</t>
  </si>
  <si>
    <t>-inch</t>
  </si>
  <si>
    <t>Total Private Fire Protection</t>
  </si>
  <si>
    <t>PUBLIC FIRE PROTECTION</t>
  </si>
  <si>
    <t xml:space="preserve"> Total Fire Protection</t>
  </si>
  <si>
    <t xml:space="preserve"> Sales of Water                          </t>
  </si>
  <si>
    <t xml:space="preserve">Total Cost of Service Related to         </t>
  </si>
  <si>
    <t xml:space="preserve">    Total Cost of Service                </t>
  </si>
  <si>
    <t xml:space="preserve">         Total Taxes, Other Than Income  </t>
  </si>
  <si>
    <t xml:space="preserve">                                         </t>
  </si>
  <si>
    <t xml:space="preserve">ADMINISTRATIVE AND GENERAL EXPENSES      </t>
  </si>
  <si>
    <t xml:space="preserve">CUSTOMER ACCOUNTS                        </t>
  </si>
  <si>
    <t>COMPARISON OF COST OF SERVICE WITH REVENUES UNDER PRESENT AND PROPOSED RATES</t>
  </si>
  <si>
    <t>Cost of Service</t>
  </si>
  <si>
    <t>Proposed Increase</t>
  </si>
  <si>
    <t>Amount</t>
  </si>
  <si>
    <t>Revenues, Present Rates</t>
  </si>
  <si>
    <t>Revenues, Proposed Rates</t>
  </si>
  <si>
    <t>Increase</t>
  </si>
  <si>
    <t>(8)</t>
  </si>
  <si>
    <t>(9)</t>
  </si>
  <si>
    <t>Public Authority</t>
  </si>
  <si>
    <t>Private Fire Service</t>
  </si>
  <si>
    <t>Public Fire Service</t>
  </si>
  <si>
    <t xml:space="preserve">     Total Sales</t>
  </si>
  <si>
    <t xml:space="preserve">              Total</t>
  </si>
  <si>
    <t>Base</t>
  </si>
  <si>
    <t>Max Day</t>
  </si>
  <si>
    <t>Max Hour</t>
  </si>
  <si>
    <t>Billing &amp;</t>
  </si>
  <si>
    <t>Collecting</t>
  </si>
  <si>
    <t>Factor 6</t>
  </si>
  <si>
    <t>1,000 Gallons</t>
  </si>
  <si>
    <t>&amp; Distribution</t>
  </si>
  <si>
    <t>Factors are based on the allocation of all other operation and maintenance expenses excluding purchased water, power, chemicals and waste disposal.</t>
  </si>
  <si>
    <t>(Schedule B)</t>
  </si>
  <si>
    <t>Year</t>
  </si>
  <si>
    <t>(MGD)</t>
  </si>
  <si>
    <t>KAWC</t>
  </si>
  <si>
    <t xml:space="preserve">              Employee Related</t>
  </si>
  <si>
    <t>Factors are based on the allocation of operation and maintenance expenses including purchased water, power, chemicals, waste disposal, and administrative and general expenses.</t>
  </si>
  <si>
    <t xml:space="preserve">     Total Plant in Service, Net of Accumulated</t>
  </si>
  <si>
    <t xml:space="preserve">        Depreciation, Contributions and Advances</t>
  </si>
  <si>
    <t xml:space="preserve">           AFUDC</t>
  </si>
  <si>
    <t xml:space="preserve">           Reconnection/Activation - T&amp;D Related</t>
  </si>
  <si>
    <t>(a)</t>
  </si>
  <si>
    <t>COMPARISON OF PRESENT AND PROPOSED RATES</t>
  </si>
  <si>
    <t>Present</t>
  </si>
  <si>
    <t>Proposed</t>
  </si>
  <si>
    <t>Rate</t>
  </si>
  <si>
    <t>3/4</t>
  </si>
  <si>
    <t>Per Thousand Gallons</t>
  </si>
  <si>
    <t>Consumption Charges:</t>
  </si>
  <si>
    <t>Fire Protection:</t>
  </si>
  <si>
    <t>Line Size</t>
  </si>
  <si>
    <t>PrivateFire Hydrant</t>
  </si>
  <si>
    <t>Public Fire Hydrant</t>
  </si>
  <si>
    <t>CALCULATION OF MONTHLY SERVICE CHARGES</t>
  </si>
  <si>
    <t>Number</t>
  </si>
  <si>
    <t>Cost Per Unit</t>
  </si>
  <si>
    <t>Cost Function</t>
  </si>
  <si>
    <t>of Units</t>
  </si>
  <si>
    <t>Per Month</t>
  </si>
  <si>
    <t>5/8-inch meter equivalents</t>
  </si>
  <si>
    <t>3/4-inch service equivalents</t>
  </si>
  <si>
    <t>Billing &amp; Collecting</t>
  </si>
  <si>
    <t>Number of customers</t>
  </si>
  <si>
    <t xml:space="preserve">          Total</t>
  </si>
  <si>
    <t>Public fire</t>
  </si>
  <si>
    <t>private Fire</t>
  </si>
  <si>
    <t>Uncollectible</t>
  </si>
  <si>
    <t>Accounts</t>
  </si>
  <si>
    <t>6/8</t>
  </si>
  <si>
    <t>Thousand Gallons</t>
  </si>
  <si>
    <t>Thousand</t>
  </si>
  <si>
    <t xml:space="preserve">Purchased Water                    </t>
  </si>
  <si>
    <t>Purchased Power</t>
  </si>
  <si>
    <t xml:space="preserve">Miscellaneous Expenses             </t>
  </si>
  <si>
    <t xml:space="preserve">Rents                              </t>
  </si>
  <si>
    <t>Rents</t>
  </si>
  <si>
    <t xml:space="preserve">Supervision and Engineering        </t>
  </si>
  <si>
    <t xml:space="preserve">Chemicals                          </t>
  </si>
  <si>
    <t xml:space="preserve">Uncollectible Accounts             </t>
  </si>
  <si>
    <t xml:space="preserve"> Administrative &amp; General Salaries  </t>
  </si>
  <si>
    <t xml:space="preserve">Outside Services   </t>
  </si>
  <si>
    <t xml:space="preserve">Workers Compensation               </t>
  </si>
  <si>
    <t xml:space="preserve">Employee Pensions and Benefits     </t>
  </si>
  <si>
    <t xml:space="preserve">Regulatory Expenses                </t>
  </si>
  <si>
    <t xml:space="preserve">Miscellaneous General Expense      </t>
  </si>
  <si>
    <t xml:space="preserve">Other P/E Intangibles             </t>
  </si>
  <si>
    <t xml:space="preserve">Land and Land Rights              </t>
  </si>
  <si>
    <t xml:space="preserve">Source of Supply Struct &amp; Improv  </t>
  </si>
  <si>
    <t xml:space="preserve">Collecting &amp; Impounding Reservoirs </t>
  </si>
  <si>
    <t xml:space="preserve">Lake, River and Other Intakes     </t>
  </si>
  <si>
    <t xml:space="preserve">Wells and Springs                 </t>
  </si>
  <si>
    <t xml:space="preserve">Supply Mains                      </t>
  </si>
  <si>
    <t xml:space="preserve">Pumping Structures &amp; Improvements </t>
  </si>
  <si>
    <t xml:space="preserve">Other Power Production Equipment  </t>
  </si>
  <si>
    <t xml:space="preserve">Electric Pumping Equipment        </t>
  </si>
  <si>
    <t xml:space="preserve">Diesel Pumping Equipment          </t>
  </si>
  <si>
    <t xml:space="preserve">Other Pumping Equipment           </t>
  </si>
  <si>
    <t xml:space="preserve">Water Treat Structures &amp; Improv   </t>
  </si>
  <si>
    <t xml:space="preserve">Water Treat and Equipment         </t>
  </si>
  <si>
    <t>GAC</t>
  </si>
  <si>
    <t xml:space="preserve">T &amp; D Structures &amp; Improvements   </t>
  </si>
  <si>
    <t xml:space="preserve">Distrib. Reservoirs &amp; Standpipes  </t>
  </si>
  <si>
    <t xml:space="preserve">Transmission &amp; Distribution Mains </t>
  </si>
  <si>
    <t xml:space="preserve">Services                          </t>
  </si>
  <si>
    <t xml:space="preserve">Meters                            </t>
  </si>
  <si>
    <t xml:space="preserve">Meter Installations               </t>
  </si>
  <si>
    <t>Hydrants</t>
  </si>
  <si>
    <t xml:space="preserve">General Structures &amp; Improvements </t>
  </si>
  <si>
    <t xml:space="preserve"> Office Structures                 </t>
  </si>
  <si>
    <t>Stores Shop and Gar. Structures</t>
  </si>
  <si>
    <t xml:space="preserve"> Miscellaneous Structures &amp; Improv </t>
  </si>
  <si>
    <t xml:space="preserve">Office Furniture and Equipment    </t>
  </si>
  <si>
    <t xml:space="preserve">Computers &amp; Peripheral Equipment  </t>
  </si>
  <si>
    <t>Personal Comp and Periph</t>
  </si>
  <si>
    <t>Computers and Periph Other</t>
  </si>
  <si>
    <t xml:space="preserve">Computer Mainframe Software                 </t>
  </si>
  <si>
    <t>Other Software</t>
  </si>
  <si>
    <t xml:space="preserve">Other Office Equipment            </t>
  </si>
  <si>
    <t xml:space="preserve">Transportation Equip-Light Trucks </t>
  </si>
  <si>
    <t xml:space="preserve">Transportation Equip-Heavy Trucks </t>
  </si>
  <si>
    <t xml:space="preserve">Transportation Equip-Cars         </t>
  </si>
  <si>
    <t xml:space="preserve">Transportation Equip-Other        </t>
  </si>
  <si>
    <t xml:space="preserve">Stores Equipment                  </t>
  </si>
  <si>
    <t xml:space="preserve">Tools, Shop &amp; Garage Equipment    </t>
  </si>
  <si>
    <t xml:space="preserve">Laboratory Equipment              </t>
  </si>
  <si>
    <t xml:space="preserve">Power Operated Equipment          </t>
  </si>
  <si>
    <t xml:space="preserve">Communication Equipment           </t>
  </si>
  <si>
    <t xml:space="preserve">Miscellaneous Equipment           </t>
  </si>
  <si>
    <t xml:space="preserve">Other Tangible Property           </t>
  </si>
  <si>
    <t>AMORTIZATION EXPENSE</t>
  </si>
  <si>
    <t xml:space="preserve">TAXES, OTHER THAN INCOME           </t>
  </si>
  <si>
    <t xml:space="preserve">INCOME TAXES                       </t>
  </si>
  <si>
    <t>Contracted Services</t>
  </si>
  <si>
    <t>Insurance - Liability, Vehicle and Other</t>
  </si>
  <si>
    <t xml:space="preserve">       Utility Reg Assessment         </t>
  </si>
  <si>
    <t>M&amp;S Operation</t>
  </si>
  <si>
    <t>M&amp;S Maint.</t>
  </si>
  <si>
    <t>Contracted Services - Lab Testing</t>
  </si>
  <si>
    <t>Misc. Operating Expense</t>
  </si>
  <si>
    <t>Misc Operating Expense</t>
  </si>
  <si>
    <t>Injuries and Damages</t>
  </si>
  <si>
    <t>Low Income Pay Program</t>
  </si>
  <si>
    <t>Lab Supplies</t>
  </si>
  <si>
    <t>Transportation</t>
  </si>
  <si>
    <t>Bank Svc Charges-CA</t>
  </si>
  <si>
    <t>Cust Edu-Bill Insert</t>
  </si>
  <si>
    <t>Collection Agencies</t>
  </si>
  <si>
    <t>Forms CA</t>
  </si>
  <si>
    <t>Postage</t>
  </si>
  <si>
    <t>Employee Related Expense</t>
  </si>
  <si>
    <t>Office Supplies</t>
  </si>
  <si>
    <t>Software Licenses</t>
  </si>
  <si>
    <t>Waste Disposal</t>
  </si>
  <si>
    <t>Office Supplies and Uniforms</t>
  </si>
  <si>
    <t>Overnight Shipping</t>
  </si>
  <si>
    <t>Office Supplies, Uniforms and Shipping</t>
  </si>
  <si>
    <t>M&amp;S Maint WT</t>
  </si>
  <si>
    <t>Misc Maint TD</t>
  </si>
  <si>
    <t>Misc Maint AG</t>
  </si>
  <si>
    <t>Amort Def Maint WT</t>
  </si>
  <si>
    <t>Amort Def Maint TD</t>
  </si>
  <si>
    <t>Misc Main Pvg/Bckfll</t>
  </si>
  <si>
    <t>Electricity WT</t>
  </si>
  <si>
    <t>Electricity TD</t>
  </si>
  <si>
    <t>Electricity AG</t>
  </si>
  <si>
    <t>Heating Oil/Gas TD</t>
  </si>
  <si>
    <t>Heating Oil/Gas AG</t>
  </si>
  <si>
    <t>Janitorial WT</t>
  </si>
  <si>
    <t>Janitorial AG</t>
  </si>
  <si>
    <t>Add'l Security Costs</t>
  </si>
  <si>
    <t>Trash Removal WT</t>
  </si>
  <si>
    <t>Trash Removal TD</t>
  </si>
  <si>
    <t>Trash Removal AG</t>
  </si>
  <si>
    <t>Water &amp; WW SS</t>
  </si>
  <si>
    <t>Water &amp; WW WT</t>
  </si>
  <si>
    <t>Water &amp; WW AG</t>
  </si>
  <si>
    <t>Telephone WT</t>
  </si>
  <si>
    <t>Telephone CA</t>
  </si>
  <si>
    <t>Telephone AG</t>
  </si>
  <si>
    <t>Cell Phone WT</t>
  </si>
  <si>
    <t>Cell Phone TD</t>
  </si>
  <si>
    <t>Cell Phone CA</t>
  </si>
  <si>
    <t>Cell Phone AG</t>
  </si>
  <si>
    <t xml:space="preserve">           Application/Initiation Fee</t>
  </si>
  <si>
    <t>Labor Expense</t>
  </si>
  <si>
    <t>Labor</t>
  </si>
  <si>
    <t xml:space="preserve">Labor - Lines                        </t>
  </si>
  <si>
    <t xml:space="preserve">Labor - Meters                     </t>
  </si>
  <si>
    <t>Labor - Services</t>
  </si>
  <si>
    <t xml:space="preserve">Labor - Structures and Improvements                      </t>
  </si>
  <si>
    <t>Labor - Reservoirs and Standpipes</t>
  </si>
  <si>
    <t>Labor - Mains</t>
  </si>
  <si>
    <t>Labor - Meters</t>
  </si>
  <si>
    <t>Labor - Hydrants</t>
  </si>
  <si>
    <t>Labor - Meter Reading</t>
  </si>
  <si>
    <t>Labor - Customer Accounts</t>
  </si>
  <si>
    <t xml:space="preserve">       ITC</t>
  </si>
  <si>
    <t>Misc. Operatiing</t>
  </si>
  <si>
    <t>DA</t>
  </si>
  <si>
    <t>Power Generation Equipment</t>
  </si>
  <si>
    <t xml:space="preserve">Hydraulic Pumping Equipment          </t>
  </si>
  <si>
    <t>SOS and Pumping Equipment</t>
  </si>
  <si>
    <t>T &amp; D Pumping Equipment</t>
  </si>
  <si>
    <t>Communication Equipment - Non-Telephone</t>
  </si>
  <si>
    <t>Remote Control and Instrument</t>
  </si>
  <si>
    <t>Communication Equipment - Telephone</t>
  </si>
  <si>
    <t xml:space="preserve">Support Services   </t>
  </si>
  <si>
    <t>CWIP - Pumping</t>
  </si>
  <si>
    <t xml:space="preserve">Organization                      </t>
  </si>
  <si>
    <t xml:space="preserve">Franchise and Consents            </t>
  </si>
  <si>
    <t>Other P/E Treatment</t>
  </si>
  <si>
    <t xml:space="preserve">Land and Land Rights - SS         </t>
  </si>
  <si>
    <t xml:space="preserve">Collecting &amp;Impounding Reservoirs </t>
  </si>
  <si>
    <t>Pumping Land &amp; Land Rights</t>
  </si>
  <si>
    <t>Hydraulic Pumping Equipement</t>
  </si>
  <si>
    <t>Other Pumping Equipment</t>
  </si>
  <si>
    <t>Pumping Equipment - SS</t>
  </si>
  <si>
    <t>Land and Land Rights</t>
  </si>
  <si>
    <t xml:space="preserve">Water Treat Equipment         </t>
  </si>
  <si>
    <t>WT Filter Media</t>
  </si>
  <si>
    <t>Land and Land Rights - T&amp;D</t>
  </si>
  <si>
    <t>Pumping Equipment - WT</t>
  </si>
  <si>
    <t xml:space="preserve">  6 inch to 8 inch</t>
  </si>
  <si>
    <t xml:space="preserve">  10 inch to 16 inch</t>
  </si>
  <si>
    <t xml:space="preserve">  4 inch or less</t>
  </si>
  <si>
    <t xml:space="preserve">  18 inch or Greater</t>
  </si>
  <si>
    <t xml:space="preserve">Fire Hydrants                     </t>
  </si>
  <si>
    <t xml:space="preserve">Office Structures                 </t>
  </si>
  <si>
    <t>Computer Equipment and Software</t>
  </si>
  <si>
    <t>Transportation Equip</t>
  </si>
  <si>
    <t>Pumping Equipment  - T&amp;D</t>
  </si>
  <si>
    <t>The weighting of the factors is based on the ratio of the capacity required for a 10 hour demand of fire flow, as related to total storage capacity.  The calculation is shown on the following page.</t>
  </si>
  <si>
    <t>The weighting of the factors is based on the ratio of the capacity required for a 10 hour demand of fire flow, as related to total storage capacity.</t>
  </si>
  <si>
    <t>Deferred Maintenance - Tank Painting</t>
  </si>
  <si>
    <t xml:space="preserve">       Other Taxes and Licenses     </t>
  </si>
  <si>
    <t>Shipping and Postage</t>
  </si>
  <si>
    <t xml:space="preserve">Less:  Misc. Service      </t>
  </si>
  <si>
    <t xml:space="preserve">           Rent</t>
  </si>
  <si>
    <t xml:space="preserve">           Rent I/C</t>
  </si>
  <si>
    <t xml:space="preserve">           NSF Return Check Charge</t>
  </si>
  <si>
    <t xml:space="preserve">           Late Payment Fee</t>
  </si>
  <si>
    <t>Water Treat Filter Media</t>
  </si>
  <si>
    <t>Computer Software - Special - CIS</t>
  </si>
  <si>
    <t>Computer Software - Special - Other</t>
  </si>
  <si>
    <t>9/23</t>
  </si>
  <si>
    <t>9/29</t>
  </si>
  <si>
    <t>7/12</t>
  </si>
  <si>
    <t xml:space="preserve">           Usage Data</t>
  </si>
  <si>
    <t xml:space="preserve">  SUPERVISION AND ENGINEERING AND MISCELLANEOUS EXPENSES.</t>
  </si>
  <si>
    <t>FACTOR 11.  ALLOCATION OF TRANSMISSION AND DISTRIBUTION OPERATION</t>
  </si>
  <si>
    <t>FACTOR 12.  ALLOCATION OF TRANSMISSION AND DISTRIBUTION MAINTENANCE</t>
  </si>
  <si>
    <t xml:space="preserve">   SUPERVISION AND ENGINEERING, STRUCTURES AND IMPROVEMENTS, AND OTHER</t>
  </si>
  <si>
    <t xml:space="preserve">   EXPENSES.</t>
  </si>
  <si>
    <t xml:space="preserve">Administrative &amp; General Salaries  </t>
  </si>
  <si>
    <t>Security</t>
  </si>
  <si>
    <t>Misc Maint</t>
  </si>
  <si>
    <t>Shipping, Postage and Printing</t>
  </si>
  <si>
    <t>Community Relations</t>
  </si>
  <si>
    <t>FACTOR 3.  ALLOCATION OF COSTS ASSOCIATED WITH FACILITIES SERVING BASE, MAXIMUM DAY EXTRA</t>
  </si>
  <si>
    <t xml:space="preserve">   CAPACITY AND FIRE PROTECTION FUNCTIONS.</t>
  </si>
  <si>
    <t>The weighting of the factors is based on the maximum day ratio of 1.75, based on a review of maximum day ratios experienced during the period 2000 through 2014 (see Schedule D).</t>
  </si>
  <si>
    <t>FACTOR 1.  ALLOCATION OF COSTS WHICH VARY WITH THE AMOUNT OF WATER</t>
  </si>
  <si>
    <t xml:space="preserve">  CONSUMED.</t>
  </si>
  <si>
    <t>(a) Includes Miscellaneous Water Sales.</t>
  </si>
  <si>
    <t>Computer Mainframe Software BT</t>
  </si>
  <si>
    <t>Rents WT</t>
  </si>
  <si>
    <t>Deferred Debits - Source of Supply</t>
  </si>
  <si>
    <t>Unrecovered Public Fire</t>
  </si>
  <si>
    <t>Meter Charges, Per Month</t>
  </si>
  <si>
    <t xml:space="preserve">   Residential</t>
  </si>
  <si>
    <t xml:space="preserve">   Commercial</t>
  </si>
  <si>
    <t xml:space="preserve">   Industrial</t>
  </si>
  <si>
    <t xml:space="preserve">   Other Public Authority</t>
  </si>
  <si>
    <t xml:space="preserve">   Sales for Resale</t>
  </si>
  <si>
    <t>FACTOR 3.  ALLOCATION OF COSTS ASSOCIATED WITH FACILITIES SERVING BASE,</t>
  </si>
  <si>
    <t xml:space="preserve">  MAXIMUM DAY EXTRA CAPACITY AND FIRE PROTECTION FUNCTIONS, cont.</t>
  </si>
  <si>
    <t>FACTOR 4.  ALLOCATION OF COSTS ASSOCIATED WITH FACILITIES SERVING BASE AND MAXIMUM HOUR EXTRA CAPACITY</t>
  </si>
  <si>
    <t xml:space="preserve">     FUNCTIONS.</t>
  </si>
  <si>
    <t>FACTOR 19.  ALLOCATION OF REGULATORY COMMISSION EXPENSES, ASSESSMENTS</t>
  </si>
  <si>
    <t xml:space="preserve">     AND OTHER WATER REVENUES.</t>
  </si>
  <si>
    <t>9/05</t>
  </si>
  <si>
    <t>09/14</t>
  </si>
  <si>
    <t>7/20</t>
  </si>
  <si>
    <t>SUMMARY OF AVERAGE DAY AND PEAK DAY DELIVERY FOR THE YEARS 2000-2017</t>
  </si>
  <si>
    <t xml:space="preserve">The weighting of the factors is based on the potential demand of general and fire protection service.  The bases for the potential demand of general service are the maximum day ratio of 1.75 and the average daily system sendout for year ending 2017 of 40.5 MGD.  The system demand for fire protection is 10,000 Gallons per minute for 10 hours.    </t>
  </si>
  <si>
    <t>The weighting of the factors is based on the potential demand of general and fire protection service.  The bases for the potential demand of general service are the maximum hour ratio of 2.5 and the average daily system sendout for the  year ending 2017 of 40.5 MGD.  The system demand for fire protection is 10,000 gallons per minute.</t>
  </si>
  <si>
    <t>Factors are based on three years of net charge-offs by customer classification.</t>
  </si>
  <si>
    <t>Fuel for Power Production</t>
  </si>
  <si>
    <t>Grounds Keeping</t>
  </si>
  <si>
    <t>Misc. Expenses</t>
  </si>
  <si>
    <t>p</t>
  </si>
  <si>
    <t>Total Source of Supply</t>
  </si>
  <si>
    <t>Office Supplies and Services</t>
  </si>
  <si>
    <t>Plant Acquisition</t>
  </si>
  <si>
    <t>Other P/E CPS</t>
  </si>
  <si>
    <t>Working Capital</t>
  </si>
  <si>
    <t>CWIP - T&amp;D Mains</t>
  </si>
  <si>
    <t>CWIP - Source of Supply</t>
  </si>
  <si>
    <t>CWIP - Ground Level Tanks</t>
  </si>
  <si>
    <t>Land and Land Rights - WT</t>
  </si>
  <si>
    <t xml:space="preserve">  Not Classified - Distribution</t>
  </si>
  <si>
    <t xml:space="preserve">  Not Classified - Transmission</t>
  </si>
  <si>
    <t>Aquisitons</t>
  </si>
  <si>
    <t>Water Treatment Pumping Equipment</t>
  </si>
  <si>
    <t xml:space="preserve"> Amortization of UPAA</t>
  </si>
  <si>
    <t xml:space="preserve"> Amortization Expense</t>
  </si>
  <si>
    <t>COST OF SERVICE FOR THE TWELVE MONTHS ENDED JUNE 30, 2020 ALLOCATED TO CUSTOMER CLASSIFICATIONS</t>
  </si>
  <si>
    <t>COST OF SERVICE FOR THE TWELVE MONTHS ENDED JUNE 30, 2020, ALLOCATED TO FUNCTIONAL CLASSIFICATIONS</t>
  </si>
  <si>
    <t>FOR THE TEST YEAR ENDED JUNE 30, 2020</t>
  </si>
  <si>
    <t>Computer Software  - Personal</t>
  </si>
  <si>
    <t>Computer Software - Special Customized</t>
  </si>
  <si>
    <t>Computer Software - Special Customized - CIS</t>
  </si>
  <si>
    <t>Middleton</t>
  </si>
  <si>
    <t>Rockcastle</t>
  </si>
  <si>
    <t>r</t>
  </si>
  <si>
    <t>c</t>
  </si>
  <si>
    <t>i</t>
  </si>
  <si>
    <t>sfr</t>
  </si>
  <si>
    <t>pf</t>
  </si>
  <si>
    <t>pub</t>
  </si>
  <si>
    <t>misc</t>
  </si>
  <si>
    <t>Present Rate</t>
  </si>
  <si>
    <t>Non-Residential</t>
  </si>
  <si>
    <t>SERVICE AREA 1</t>
  </si>
  <si>
    <t>EASTERN ROCKCASTLE COUNTY SERVICE AREA</t>
  </si>
  <si>
    <t>Minimum</t>
  </si>
  <si>
    <t>Bill</t>
  </si>
  <si>
    <t>Allowance</t>
  </si>
  <si>
    <t xml:space="preserve">Rate per 1,000 </t>
  </si>
  <si>
    <t>Over Minimum Bill</t>
  </si>
  <si>
    <t>Present Rates</t>
  </si>
  <si>
    <t>Proposed Rates</t>
  </si>
  <si>
    <t>Charge</t>
  </si>
  <si>
    <t>NORTH MIDDLETON SERVICE AREA</t>
  </si>
  <si>
    <t>Consumption Rate</t>
  </si>
  <si>
    <t>All Usage Over Allowance</t>
  </si>
  <si>
    <t xml:space="preserve">  Sales for Resale</t>
  </si>
  <si>
    <t>Per  Thousand</t>
  </si>
  <si>
    <t>First Block - Next 3,000 gallons</t>
  </si>
  <si>
    <t>Second Block - Next 5,000 gallons</t>
  </si>
  <si>
    <t>Third Block - Over 10,000 gallons</t>
  </si>
  <si>
    <t>All Meter Sizes</t>
  </si>
  <si>
    <t>Readiness to Service - Mains</t>
  </si>
  <si>
    <t>&lt;&lt;&lt;&lt;&lt;ADJUSTED USAGE FOR LARGE INDUSTRIAL USAGE</t>
  </si>
  <si>
    <t xml:space="preserve">&lt;&lt;&lt;&lt;&lt;ADJUSTED USAGE </t>
  </si>
  <si>
    <t>Large Main Ind</t>
  </si>
  <si>
    <t>Other Revenues and AFUDC</t>
  </si>
  <si>
    <t>*Adjusted to reflect that approximately 35,584 residential customers are served by 1-inch service lines each serving two residences.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</si>
</sst>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
    <numFmt numFmtId="166" formatCode="0.0"/>
    <numFmt numFmtId="167" formatCode="#,##0.0000"/>
    <numFmt numFmtId="168" formatCode="0_);\(0\)"/>
    <numFmt numFmtId="169" formatCode="#,##0.0000_);\(#,##0.0000\)"/>
    <numFmt numFmtId="170" formatCode="#,##0.0_);\(#,##0.0\)"/>
    <numFmt numFmtId="171" formatCode="&quot;$&quot;#,##0"/>
    <numFmt numFmtId="172" formatCode="_(* #,##0.0000_);_(* \(#,##0.0000\);_(* &quot;-&quot;????_);_(@_)"/>
    <numFmt numFmtId="173" formatCode="0.0%"/>
    <numFmt numFmtId="174" formatCode="_(* #,##0_);_(* \(#,##0\);_(* &quot;-&quot;??_);_(@_)"/>
    <numFmt numFmtId="175" formatCode="_(* #,##0.0_);_(* \(#,##0.0\);_(* &quot;-&quot;??_);_(@_)"/>
    <numFmt numFmtId="176" formatCode="#,##0;[Red]\-#,##0"/>
    <numFmt numFmtId="177" formatCode="_(&quot;$&quot;* #,##0_);_(&quot;$&quot;* \(#,##0\);_(&quot;$&quot;* &quot;-&quot;??_);_(@_)"/>
    <numFmt numFmtId="178" formatCode="_(* #,##0.000_);_(* \(#,##0.000\);_(* &quot;-&quot;??_);_(@_)"/>
    <numFmt numFmtId="179" formatCode="_(&quot;$&quot;* #,##0.00_);_(&quot;$&quot;* \(#,##0.00\);_(&quot;$&quot;* &quot;-&quot;_);_(@_)"/>
    <numFmt numFmtId="180" formatCode="_(* #,##0.0000_);_(* \(#,##0.0000\);_(* &quot;-&quot;??_);_(@_)"/>
    <numFmt numFmtId="181" formatCode="_(&quot;$&quot;* #,##0.000_);_(&quot;$&quot;* \(#,##0.000\);_(&quot;$&quot;* &quot;-&quot;??_);_(@_)"/>
    <numFmt numFmtId="182" formatCode="_(* #,##0.00000_);_(* \(#,##0.00000\);_(* &quot;-&quot;??_);_(@_)"/>
    <numFmt numFmtId="183" formatCode="_(&quot;$&quot;* #,##0.0000_);_(&quot;$&quot;* \(#,##0.0000\);_(&quot;$&quot;* &quot;-&quot;??_);_(@_)"/>
    <numFmt numFmtId="184" formatCode="_(&quot;$&quot;* #,##0.00000_);_(&quot;$&quot;* \(#,##0.00000\);_(&quot;$&quot;* &quot;-&quot;??_);_(@_)"/>
    <numFmt numFmtId="185" formatCode="#,##0.000000"/>
    <numFmt numFmtId="187" formatCode="#,##0.000"/>
    <numFmt numFmtId="189" formatCode="_(* #,##0.00_);_(* \(#,##0.00\);_(* &quot;-&quot;_);_(@_)"/>
    <numFmt numFmtId="191" formatCode="#,##0.000_);\(#,##0.000\)"/>
  </numFmts>
  <fonts count="33" x14ac:knownFonts="1">
    <font>
      <sz val="12"/>
      <name val="Arial"/>
    </font>
    <font>
      <sz val="11"/>
      <color theme="1"/>
      <name val="Calibri"/>
      <family val="2"/>
      <scheme val="minor"/>
    </font>
    <font>
      <b/>
      <sz val="10"/>
      <name val="Arial"/>
      <family val="2"/>
    </font>
    <font>
      <sz val="10"/>
      <name val="Arial"/>
      <family val="2"/>
    </font>
    <font>
      <sz val="10"/>
      <color indexed="8"/>
      <name val="Arial"/>
      <family val="2"/>
    </font>
    <font>
      <sz val="12"/>
      <name val="Arial"/>
      <family val="2"/>
    </font>
    <font>
      <sz val="12"/>
      <color indexed="8"/>
      <name val="Arial"/>
      <family val="2"/>
    </font>
    <font>
      <sz val="10"/>
      <color indexed="10"/>
      <name val="Arial"/>
      <family val="2"/>
    </font>
    <font>
      <sz val="10"/>
      <name val="Arial"/>
      <family val="2"/>
    </font>
    <font>
      <u/>
      <sz val="10"/>
      <name val="Arial"/>
      <family val="2"/>
    </font>
    <font>
      <sz val="12"/>
      <name val="Arial"/>
      <family val="2"/>
    </font>
    <font>
      <sz val="9"/>
      <name val="Arial"/>
      <family val="2"/>
    </font>
    <font>
      <sz val="10"/>
      <color indexed="12"/>
      <name val="Arial"/>
      <family val="2"/>
    </font>
    <font>
      <sz val="8"/>
      <name val="Arial"/>
      <family val="2"/>
    </font>
    <font>
      <sz val="11"/>
      <name val="Arial"/>
      <family val="2"/>
    </font>
    <font>
      <u/>
      <sz val="12"/>
      <name val="Arial"/>
      <family val="2"/>
    </font>
    <font>
      <sz val="10"/>
      <color indexed="17"/>
      <name val="Arial"/>
      <family val="2"/>
    </font>
    <font>
      <sz val="10"/>
      <color indexed="10"/>
      <name val="Arial"/>
      <family val="2"/>
    </font>
    <font>
      <sz val="12"/>
      <name val="Arial"/>
      <family val="2"/>
    </font>
    <font>
      <sz val="12"/>
      <color indexed="10"/>
      <name val="Arial"/>
      <family val="2"/>
    </font>
    <font>
      <b/>
      <sz val="12"/>
      <color indexed="10"/>
      <name val="Arial"/>
      <family val="2"/>
    </font>
    <font>
      <sz val="10"/>
      <color indexed="20"/>
      <name val="Arial"/>
      <family val="2"/>
    </font>
    <font>
      <sz val="10"/>
      <color indexed="17"/>
      <name val="Arial"/>
      <family val="2"/>
    </font>
    <font>
      <b/>
      <u/>
      <sz val="10"/>
      <name val="Arial"/>
      <family val="2"/>
    </font>
    <font>
      <sz val="12"/>
      <color rgb="FFFF0000"/>
      <name val="Arial"/>
      <family val="2"/>
    </font>
    <font>
      <sz val="10"/>
      <color rgb="FFFF0000"/>
      <name val="Arial"/>
      <family val="2"/>
    </font>
    <font>
      <sz val="11"/>
      <color theme="1"/>
      <name val="Calibri"/>
      <family val="2"/>
      <scheme val="minor"/>
    </font>
    <font>
      <sz val="10"/>
      <name val="Calibri"/>
      <family val="2"/>
      <scheme val="minor"/>
    </font>
    <font>
      <b/>
      <sz val="12"/>
      <name val="Arial"/>
      <family val="2"/>
    </font>
    <font>
      <sz val="11"/>
      <color indexed="10"/>
      <name val="Arial"/>
      <family val="2"/>
    </font>
    <font>
      <sz val="11"/>
      <color indexed="8"/>
      <name val="Arial"/>
      <family val="2"/>
    </font>
    <font>
      <sz val="11"/>
      <color rgb="FFFF0000"/>
      <name val="Arial"/>
      <family val="2"/>
    </font>
    <font>
      <sz val="12"/>
      <name val="Arial"/>
      <family val="2"/>
    </font>
  </fonts>
  <fills count="2">
    <fill>
      <patternFill patternType="none"/>
    </fill>
    <fill>
      <patternFill patternType="gray125"/>
    </fill>
  </fills>
  <borders count="7">
    <border>
      <left/>
      <right/>
      <top/>
      <bottom/>
      <diagonal/>
    </border>
    <border>
      <left/>
      <right/>
      <top style="thin">
        <color indexed="8"/>
      </top>
      <bottom/>
      <diagonal/>
    </border>
    <border>
      <left/>
      <right/>
      <top style="double">
        <color indexed="8"/>
      </top>
      <bottom/>
      <diagonal/>
    </border>
    <border>
      <left/>
      <right/>
      <top/>
      <bottom style="thin">
        <color indexed="64"/>
      </bottom>
      <diagonal/>
    </border>
    <border>
      <left/>
      <right/>
      <top/>
      <bottom style="double">
        <color indexed="64"/>
      </bottom>
      <diagonal/>
    </border>
    <border>
      <left/>
      <right/>
      <top/>
      <bottom style="thin">
        <color indexed="8"/>
      </bottom>
      <diagonal/>
    </border>
    <border>
      <left/>
      <right/>
      <top style="thin">
        <color indexed="64"/>
      </top>
      <bottom/>
      <diagonal/>
    </border>
  </borders>
  <cellStyleXfs count="25">
    <xf numFmtId="164" fontId="0" fillId="0" borderId="0"/>
    <xf numFmtId="43" fontId="14" fillId="0" borderId="0" applyFont="0" applyFill="0" applyBorder="0" applyAlignment="0" applyProtection="0"/>
    <xf numFmtId="44"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0" fontId="5" fillId="0" borderId="0"/>
    <xf numFmtId="9" fontId="3"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3" fillId="0" borderId="0"/>
    <xf numFmtId="0" fontId="3" fillId="0" borderId="0"/>
    <xf numFmtId="41" fontId="32" fillId="0" borderId="0" applyFont="0" applyFill="0" applyBorder="0" applyAlignment="0" applyProtection="0"/>
    <xf numFmtId="9" fontId="26"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35">
    <xf numFmtId="0" fontId="3" fillId="0" borderId="0" xfId="0" applyNumberFormat="1" applyFont="1" applyAlignment="1" applyProtection="1">
      <protection locked="0"/>
    </xf>
    <xf numFmtId="0" fontId="3" fillId="0" borderId="0" xfId="0" applyNumberFormat="1" applyFont="1" applyAlignment="1">
      <alignment horizontal="centerContinuous"/>
    </xf>
    <xf numFmtId="0" fontId="3" fillId="0" borderId="0" xfId="0" applyNumberFormat="1" applyFont="1" applyAlignment="1"/>
    <xf numFmtId="0" fontId="3" fillId="0" borderId="1" xfId="0" applyNumberFormat="1" applyFont="1" applyBorder="1" applyAlignment="1">
      <alignment horizontal="centerContinuous"/>
    </xf>
    <xf numFmtId="164" fontId="3" fillId="0" borderId="0" xfId="0" applyFont="1" applyAlignment="1"/>
    <xf numFmtId="3" fontId="3" fillId="0" borderId="2" xfId="0" applyNumberFormat="1" applyFont="1" applyBorder="1" applyAlignment="1"/>
    <xf numFmtId="165" fontId="3" fillId="0" borderId="2" xfId="0" applyNumberFormat="1" applyFont="1" applyBorder="1" applyAlignment="1"/>
    <xf numFmtId="3" fontId="3" fillId="0" borderId="0" xfId="0" applyNumberFormat="1" applyFont="1" applyAlignment="1"/>
    <xf numFmtId="0" fontId="3" fillId="0" borderId="1" xfId="0" applyNumberFormat="1" applyFont="1" applyBorder="1" applyAlignment="1">
      <alignment horizontal="center"/>
    </xf>
    <xf numFmtId="0" fontId="3" fillId="0" borderId="0" xfId="0" applyNumberFormat="1" applyFont="1" applyAlignment="1">
      <alignment horizontal="center"/>
    </xf>
    <xf numFmtId="0" fontId="3" fillId="0" borderId="1" xfId="0" applyNumberFormat="1" applyFont="1" applyBorder="1" applyAlignment="1"/>
    <xf numFmtId="165" fontId="3" fillId="0" borderId="0" xfId="0" applyNumberFormat="1" applyFont="1" applyAlignment="1"/>
    <xf numFmtId="0" fontId="0" fillId="0" borderId="0" xfId="0" applyNumberFormat="1" applyProtection="1">
      <protection locked="0"/>
    </xf>
    <xf numFmtId="0" fontId="3" fillId="0" borderId="0" xfId="6" applyNumberFormat="1" applyFont="1" applyAlignment="1">
      <alignment horizontal="centerContinuous"/>
    </xf>
    <xf numFmtId="0" fontId="5" fillId="0" borderId="0" xfId="6" applyAlignment="1"/>
    <xf numFmtId="0" fontId="5" fillId="0" borderId="0" xfId="0" applyNumberFormat="1" applyFont="1" applyAlignment="1">
      <alignment horizontal="centerContinuous"/>
    </xf>
    <xf numFmtId="0" fontId="5" fillId="0" borderId="0" xfId="0" applyNumberFormat="1" applyFont="1" applyAlignment="1" applyProtection="1">
      <protection locked="0"/>
    </xf>
    <xf numFmtId="0" fontId="3" fillId="0" borderId="0" xfId="0" applyNumberFormat="1" applyFont="1" applyAlignment="1">
      <alignment horizontal="right"/>
    </xf>
    <xf numFmtId="164" fontId="3" fillId="0" borderId="1" xfId="0" applyFont="1" applyBorder="1" applyAlignment="1"/>
    <xf numFmtId="164" fontId="3" fillId="0" borderId="2" xfId="0" applyFont="1" applyBorder="1" applyAlignment="1"/>
    <xf numFmtId="0" fontId="5" fillId="0" borderId="0" xfId="7" applyNumberFormat="1" applyFont="1" applyAlignment="1">
      <alignment horizontal="centerContinuous"/>
    </xf>
    <xf numFmtId="0" fontId="3" fillId="0" borderId="0" xfId="7" applyFont="1" applyAlignment="1"/>
    <xf numFmtId="0" fontId="3" fillId="0" borderId="0" xfId="7" applyNumberFormat="1" applyFont="1" applyAlignment="1"/>
    <xf numFmtId="2" fontId="3" fillId="0" borderId="0" xfId="7" applyNumberFormat="1" applyFont="1" applyAlignment="1"/>
    <xf numFmtId="164" fontId="3" fillId="0" borderId="0" xfId="7" applyNumberFormat="1" applyFont="1" applyAlignment="1"/>
    <xf numFmtId="0" fontId="5" fillId="0" borderId="0" xfId="3" applyNumberFormat="1" applyFont="1" applyAlignment="1">
      <alignment horizontal="centerContinuous"/>
    </xf>
    <xf numFmtId="0" fontId="3" fillId="0" borderId="0" xfId="3" applyNumberFormat="1" applyFont="1" applyAlignment="1">
      <alignment horizontal="centerContinuous"/>
    </xf>
    <xf numFmtId="0" fontId="3" fillId="0" borderId="0" xfId="3" applyNumberFormat="1" applyFont="1" applyAlignment="1"/>
    <xf numFmtId="0" fontId="5" fillId="0" borderId="0" xfId="3" applyAlignment="1"/>
    <xf numFmtId="164" fontId="3" fillId="0" borderId="0" xfId="3" applyNumberFormat="1" applyFont="1" applyAlignment="1"/>
    <xf numFmtId="0" fontId="5" fillId="0" borderId="0" xfId="3" applyNumberFormat="1" applyFont="1" applyAlignment="1"/>
    <xf numFmtId="0" fontId="3" fillId="0" borderId="0" xfId="8" applyNumberFormat="1" applyFont="1" applyAlignment="1">
      <alignment horizontal="centerContinuous"/>
    </xf>
    <xf numFmtId="0" fontId="3" fillId="0" borderId="0" xfId="8" applyNumberFormat="1" applyFont="1" applyAlignment="1"/>
    <xf numFmtId="0" fontId="5" fillId="0" borderId="0" xfId="4" applyNumberFormat="1" applyFont="1" applyAlignment="1">
      <alignment horizontal="centerContinuous"/>
    </xf>
    <xf numFmtId="0" fontId="3" fillId="0" borderId="0" xfId="4" applyNumberFormat="1" applyFont="1" applyAlignment="1">
      <alignment horizontal="centerContinuous"/>
    </xf>
    <xf numFmtId="0" fontId="3" fillId="0" borderId="0" xfId="4" applyNumberFormat="1" applyFont="1" applyAlignment="1"/>
    <xf numFmtId="167" fontId="3" fillId="0" borderId="0" xfId="4" applyNumberFormat="1" applyFont="1" applyAlignment="1"/>
    <xf numFmtId="0" fontId="5" fillId="0" borderId="0" xfId="5" applyNumberFormat="1" applyFont="1" applyAlignment="1">
      <alignment horizontal="centerContinuous"/>
    </xf>
    <xf numFmtId="0" fontId="3" fillId="0" borderId="0" xfId="5" applyNumberFormat="1" applyFont="1" applyAlignment="1">
      <alignment horizontal="centerContinuous"/>
    </xf>
    <xf numFmtId="0" fontId="5" fillId="0" borderId="0" xfId="5" applyAlignment="1"/>
    <xf numFmtId="0" fontId="3" fillId="0" borderId="0" xfId="5" applyNumberFormat="1" applyFont="1" applyAlignment="1"/>
    <xf numFmtId="0" fontId="3" fillId="0" borderId="0" xfId="5" applyNumberFormat="1" applyFont="1" applyAlignment="1">
      <alignment horizontal="center"/>
    </xf>
    <xf numFmtId="3" fontId="3" fillId="0" borderId="0" xfId="5" applyNumberFormat="1" applyFont="1" applyAlignment="1"/>
    <xf numFmtId="0" fontId="5" fillId="0" borderId="0" xfId="5"/>
    <xf numFmtId="3" fontId="3" fillId="0" borderId="0" xfId="5" applyNumberFormat="1" applyFont="1" applyAlignment="1">
      <alignment horizontal="center"/>
    </xf>
    <xf numFmtId="4" fontId="3" fillId="0" borderId="0" xfId="5" applyNumberFormat="1" applyFont="1" applyAlignment="1"/>
    <xf numFmtId="10" fontId="3" fillId="0" borderId="0" xfId="5" applyNumberFormat="1" applyFont="1" applyAlignment="1"/>
    <xf numFmtId="10" fontId="3" fillId="0" borderId="0" xfId="5" applyNumberFormat="1" applyFont="1" applyAlignment="1" applyProtection="1">
      <protection locked="0"/>
    </xf>
    <xf numFmtId="0" fontId="6" fillId="0" borderId="0" xfId="0" applyNumberFormat="1" applyFont="1" applyAlignment="1"/>
    <xf numFmtId="0" fontId="4" fillId="0" borderId="0" xfId="0" applyNumberFormat="1" applyFont="1" applyAlignment="1"/>
    <xf numFmtId="0" fontId="3" fillId="0" borderId="0" xfId="0" applyNumberFormat="1" applyFont="1" applyAlignment="1">
      <alignment horizontal="left"/>
    </xf>
    <xf numFmtId="164" fontId="3" fillId="0" borderId="0" xfId="0" applyNumberFormat="1" applyFont="1" applyAlignment="1"/>
    <xf numFmtId="0" fontId="7" fillId="0" borderId="0" xfId="0" applyNumberFormat="1" applyFont="1" applyAlignment="1"/>
    <xf numFmtId="0" fontId="8" fillId="0" borderId="0" xfId="0" applyNumberFormat="1" applyFont="1" applyAlignment="1" applyProtection="1">
      <protection locked="0"/>
    </xf>
    <xf numFmtId="0" fontId="8" fillId="0" borderId="0" xfId="0" applyNumberFormat="1" applyFont="1" applyAlignment="1" applyProtection="1">
      <alignment horizontal="center"/>
      <protection locked="0"/>
    </xf>
    <xf numFmtId="164" fontId="11" fillId="0" borderId="0" xfId="0" applyFont="1"/>
    <xf numFmtId="0" fontId="11" fillId="0" borderId="0" xfId="0" applyNumberFormat="1" applyFont="1" applyAlignment="1" applyProtection="1">
      <protection locked="0"/>
    </xf>
    <xf numFmtId="0" fontId="10" fillId="0" borderId="0" xfId="0" applyNumberFormat="1" applyFont="1" applyAlignment="1" applyProtection="1">
      <protection locked="0"/>
    </xf>
    <xf numFmtId="164" fontId="8" fillId="0" borderId="0" xfId="0" applyFont="1" applyAlignment="1">
      <alignment horizontal="center"/>
    </xf>
    <xf numFmtId="164" fontId="11" fillId="0" borderId="0" xfId="0" applyFont="1" applyAlignment="1">
      <alignment horizontal="center"/>
    </xf>
    <xf numFmtId="0" fontId="3" fillId="0" borderId="0" xfId="0" applyNumberFormat="1" applyFont="1" applyAlignment="1" applyProtection="1">
      <alignment horizontal="center"/>
      <protection locked="0"/>
    </xf>
    <xf numFmtId="168" fontId="11" fillId="0" borderId="0" xfId="0" applyNumberFormat="1" applyFont="1" applyAlignment="1">
      <alignment horizontal="center"/>
    </xf>
    <xf numFmtId="168" fontId="8" fillId="0" borderId="0" xfId="0" applyNumberFormat="1" applyFont="1" applyAlignment="1">
      <alignment horizontal="center"/>
    </xf>
    <xf numFmtId="168" fontId="8" fillId="0" borderId="0" xfId="0" applyNumberFormat="1" applyFont="1" applyAlignment="1" applyProtection="1">
      <alignment horizontal="center"/>
      <protection locked="0"/>
    </xf>
    <xf numFmtId="168" fontId="3" fillId="0" borderId="0" xfId="0" applyNumberFormat="1" applyFont="1" applyAlignment="1" applyProtection="1">
      <alignment horizontal="center"/>
      <protection locked="0"/>
    </xf>
    <xf numFmtId="37" fontId="8" fillId="0" borderId="0" xfId="0" applyNumberFormat="1" applyFont="1" applyAlignment="1" applyProtection="1">
      <protection locked="0"/>
    </xf>
    <xf numFmtId="37" fontId="8" fillId="0" borderId="0" xfId="0" applyNumberFormat="1" applyFont="1" applyAlignment="1">
      <alignment horizontal="center"/>
    </xf>
    <xf numFmtId="37" fontId="3" fillId="0" borderId="0" xfId="0" applyNumberFormat="1" applyFont="1" applyAlignment="1" applyProtection="1">
      <protection locked="0"/>
    </xf>
    <xf numFmtId="0" fontId="3" fillId="0" borderId="0" xfId="0" applyNumberFormat="1" applyFont="1" applyBorder="1" applyAlignment="1" applyProtection="1">
      <protection locked="0"/>
    </xf>
    <xf numFmtId="37" fontId="3" fillId="0" borderId="0" xfId="0" applyNumberFormat="1" applyFont="1" applyAlignment="1" applyProtection="1">
      <alignment horizontal="center"/>
      <protection locked="0"/>
    </xf>
    <xf numFmtId="164" fontId="3" fillId="0" borderId="4" xfId="0" applyFont="1" applyBorder="1" applyAlignment="1"/>
    <xf numFmtId="0" fontId="3" fillId="0" borderId="0" xfId="0" applyNumberFormat="1" applyFont="1" applyAlignment="1" applyProtection="1">
      <alignment horizontal="right"/>
      <protection locked="0"/>
    </xf>
    <xf numFmtId="164" fontId="3" fillId="0" borderId="0" xfId="0" applyNumberFormat="1" applyFont="1" applyAlignment="1" applyProtection="1">
      <alignment horizontal="right"/>
      <protection locked="0"/>
    </xf>
    <xf numFmtId="37" fontId="3" fillId="0" borderId="0" xfId="0" applyNumberFormat="1" applyFont="1" applyAlignment="1" applyProtection="1">
      <alignment horizontal="right"/>
      <protection locked="0"/>
    </xf>
    <xf numFmtId="37" fontId="3" fillId="0" borderId="1" xfId="0" applyNumberFormat="1" applyFont="1" applyBorder="1" applyAlignment="1"/>
    <xf numFmtId="164" fontId="3" fillId="0" borderId="0" xfId="0" applyFont="1" applyBorder="1" applyAlignment="1"/>
    <xf numFmtId="0" fontId="3" fillId="0" borderId="0" xfId="7" applyNumberFormat="1" applyFont="1" applyBorder="1" applyAlignment="1"/>
    <xf numFmtId="165" fontId="8" fillId="0" borderId="0" xfId="12" applyNumberFormat="1" applyFont="1" applyAlignment="1"/>
    <xf numFmtId="0" fontId="5" fillId="0" borderId="0" xfId="4" applyFont="1" applyAlignment="1"/>
    <xf numFmtId="165" fontId="3" fillId="0" borderId="0" xfId="5" applyNumberFormat="1" applyFont="1" applyBorder="1" applyAlignment="1"/>
    <xf numFmtId="164" fontId="10" fillId="0" borderId="0" xfId="0" applyFont="1" applyAlignment="1">
      <alignment horizontal="center"/>
    </xf>
    <xf numFmtId="170" fontId="3" fillId="0" borderId="0" xfId="0" applyNumberFormat="1" applyFont="1" applyAlignment="1"/>
    <xf numFmtId="170" fontId="3" fillId="0" borderId="0" xfId="0" applyNumberFormat="1" applyFont="1" applyAlignment="1" applyProtection="1">
      <protection locked="0"/>
    </xf>
    <xf numFmtId="0" fontId="8" fillId="0" borderId="0" xfId="12" applyNumberFormat="1" applyFont="1" applyAlignment="1">
      <alignment horizontal="centerContinuous"/>
    </xf>
    <xf numFmtId="0" fontId="8" fillId="0" borderId="0" xfId="12" applyFont="1" applyAlignment="1"/>
    <xf numFmtId="0" fontId="8" fillId="0" borderId="0" xfId="12" applyNumberFormat="1" applyFont="1" applyAlignment="1"/>
    <xf numFmtId="0" fontId="8" fillId="0" borderId="0" xfId="12" applyNumberFormat="1" applyFont="1" applyAlignment="1">
      <alignment horizontal="center"/>
    </xf>
    <xf numFmtId="0" fontId="8" fillId="0" borderId="1" xfId="12" applyNumberFormat="1" applyFont="1" applyBorder="1" applyAlignment="1">
      <alignment horizontal="centerContinuous"/>
    </xf>
    <xf numFmtId="0" fontId="8" fillId="0" borderId="1" xfId="12" applyNumberFormat="1" applyFont="1" applyBorder="1" applyAlignment="1">
      <alignment horizontal="center"/>
    </xf>
    <xf numFmtId="0" fontId="9" fillId="0" borderId="0" xfId="12" applyNumberFormat="1" applyFont="1" applyAlignment="1"/>
    <xf numFmtId="164" fontId="11" fillId="0" borderId="0" xfId="0" applyFont="1" applyBorder="1"/>
    <xf numFmtId="164" fontId="8" fillId="0" borderId="0" xfId="0" applyFont="1" applyBorder="1"/>
    <xf numFmtId="42" fontId="3" fillId="0" borderId="0" xfId="0" applyNumberFormat="1" applyFont="1" applyAlignment="1" applyProtection="1">
      <protection locked="0"/>
    </xf>
    <xf numFmtId="0" fontId="10" fillId="0" borderId="0" xfId="12" applyNumberFormat="1" applyFont="1" applyAlignment="1">
      <alignment horizontal="centerContinuous"/>
    </xf>
    <xf numFmtId="174" fontId="3" fillId="0" borderId="0" xfId="1" applyNumberFormat="1" applyFont="1" applyAlignment="1" applyProtection="1">
      <protection locked="0"/>
    </xf>
    <xf numFmtId="1" fontId="3" fillId="0" borderId="0" xfId="7" applyNumberFormat="1" applyFont="1" applyAlignment="1"/>
    <xf numFmtId="0" fontId="5" fillId="0" borderId="0" xfId="7" applyFont="1" applyAlignment="1"/>
    <xf numFmtId="164" fontId="3" fillId="0" borderId="0" xfId="0" applyFont="1"/>
    <xf numFmtId="0" fontId="11" fillId="0" borderId="0" xfId="0" applyNumberFormat="1" applyFont="1" applyAlignment="1" applyProtection="1">
      <alignment horizontal="right"/>
      <protection locked="0"/>
    </xf>
    <xf numFmtId="169" fontId="8" fillId="0" borderId="0" xfId="0" applyNumberFormat="1" applyFont="1" applyAlignment="1" applyProtection="1">
      <protection locked="0"/>
    </xf>
    <xf numFmtId="0" fontId="7" fillId="0" borderId="0" xfId="0" applyNumberFormat="1" applyFont="1" applyAlignment="1" applyProtection="1">
      <protection locked="0"/>
    </xf>
    <xf numFmtId="0" fontId="7" fillId="0" borderId="0" xfId="0" applyNumberFormat="1" applyFont="1" applyAlignment="1" applyProtection="1">
      <alignment horizontal="center"/>
      <protection locked="0"/>
    </xf>
    <xf numFmtId="169" fontId="12" fillId="0" borderId="0" xfId="0" applyNumberFormat="1" applyFont="1" applyAlignment="1" applyProtection="1">
      <protection locked="0"/>
    </xf>
    <xf numFmtId="0" fontId="12" fillId="0" borderId="0" xfId="0" applyNumberFormat="1" applyFont="1" applyAlignment="1" applyProtection="1">
      <protection locked="0"/>
    </xf>
    <xf numFmtId="176" fontId="10" fillId="0" borderId="0" xfId="11" applyFont="1" applyAlignment="1">
      <alignment horizontal="center"/>
    </xf>
    <xf numFmtId="176" fontId="10" fillId="0" borderId="0" xfId="11" applyFont="1" applyAlignment="1"/>
    <xf numFmtId="176" fontId="8" fillId="0" borderId="0" xfId="11" applyFont="1" applyAlignment="1"/>
    <xf numFmtId="176" fontId="15" fillId="0" borderId="0" xfId="11" applyNumberFormat="1" applyFont="1" applyAlignment="1"/>
    <xf numFmtId="176" fontId="10" fillId="0" borderId="3" xfId="11" applyFont="1" applyBorder="1" applyAlignment="1">
      <alignment horizontal="center"/>
    </xf>
    <xf numFmtId="41" fontId="10" fillId="0" borderId="0" xfId="11" quotePrefix="1" applyNumberFormat="1" applyFont="1" applyAlignment="1">
      <alignment horizontal="center"/>
    </xf>
    <xf numFmtId="41" fontId="10" fillId="0" borderId="0" xfId="11" applyNumberFormat="1" applyFont="1" applyAlignment="1"/>
    <xf numFmtId="176" fontId="10" fillId="0" borderId="0" xfId="11" applyFont="1"/>
    <xf numFmtId="168" fontId="3" fillId="0" borderId="0" xfId="0" applyNumberFormat="1" applyFont="1" applyAlignment="1" applyProtection="1">
      <protection locked="0"/>
    </xf>
    <xf numFmtId="167" fontId="5" fillId="0" borderId="0" xfId="4" applyNumberFormat="1" applyFont="1" applyAlignment="1"/>
    <xf numFmtId="172" fontId="16" fillId="0" borderId="0" xfId="0" applyNumberFormat="1" applyFont="1" applyAlignment="1" applyProtection="1">
      <protection locked="0"/>
    </xf>
    <xf numFmtId="0" fontId="16" fillId="0" borderId="0" xfId="0" applyNumberFormat="1" applyFont="1" applyAlignment="1" applyProtection="1">
      <protection locked="0"/>
    </xf>
    <xf numFmtId="0" fontId="16" fillId="0" borderId="0" xfId="0" applyNumberFormat="1" applyFont="1" applyAlignment="1" applyProtection="1">
      <alignment horizontal="center"/>
      <protection locked="0"/>
    </xf>
    <xf numFmtId="174" fontId="5" fillId="0" borderId="0" xfId="1" applyNumberFormat="1" applyFont="1" applyAlignment="1" applyProtection="1">
      <protection locked="0"/>
    </xf>
    <xf numFmtId="42" fontId="5" fillId="0" borderId="0" xfId="0" applyNumberFormat="1" applyFont="1" applyAlignment="1" applyProtection="1">
      <protection locked="0"/>
    </xf>
    <xf numFmtId="174" fontId="3" fillId="0" borderId="0" xfId="1" applyNumberFormat="1" applyFont="1" applyAlignment="1"/>
    <xf numFmtId="173" fontId="5" fillId="0" borderId="0" xfId="13" applyNumberFormat="1" applyFont="1" applyAlignment="1" applyProtection="1">
      <protection locked="0"/>
    </xf>
    <xf numFmtId="0" fontId="5" fillId="0" borderId="0" xfId="0" applyNumberFormat="1" applyFont="1" applyAlignment="1" applyProtection="1">
      <alignment horizontal="center"/>
      <protection locked="0"/>
    </xf>
    <xf numFmtId="176" fontId="5" fillId="0" borderId="0" xfId="11" applyFont="1" applyAlignment="1">
      <alignment horizontal="center"/>
    </xf>
    <xf numFmtId="0" fontId="5" fillId="0" borderId="3" xfId="0" applyNumberFormat="1" applyFont="1" applyBorder="1" applyAlignment="1" applyProtection="1">
      <alignment horizontal="center"/>
      <protection locked="0"/>
    </xf>
    <xf numFmtId="0" fontId="5" fillId="0" borderId="0" xfId="0" quotePrefix="1" applyNumberFormat="1" applyFont="1" applyAlignment="1" applyProtection="1">
      <alignment horizontal="center"/>
      <protection locked="0"/>
    </xf>
    <xf numFmtId="176" fontId="5" fillId="0" borderId="0" xfId="11" applyFont="1" applyAlignment="1"/>
    <xf numFmtId="2" fontId="5" fillId="0" borderId="0" xfId="0" applyNumberFormat="1" applyFont="1" applyAlignment="1" applyProtection="1">
      <protection locked="0"/>
    </xf>
    <xf numFmtId="0" fontId="11" fillId="0" borderId="0" xfId="0" applyNumberFormat="1" applyFont="1" applyBorder="1" applyAlignment="1" applyProtection="1">
      <protection locked="0"/>
    </xf>
    <xf numFmtId="168" fontId="8" fillId="0" borderId="0" xfId="0" applyNumberFormat="1" applyFont="1" applyBorder="1" applyAlignment="1" applyProtection="1">
      <alignment horizontal="center"/>
      <protection locked="0"/>
    </xf>
    <xf numFmtId="0" fontId="8" fillId="0" borderId="0" xfId="0" applyNumberFormat="1" applyFont="1" applyBorder="1" applyAlignment="1" applyProtection="1">
      <protection locked="0"/>
    </xf>
    <xf numFmtId="174" fontId="3" fillId="0" borderId="0" xfId="1" applyNumberFormat="1" applyFont="1"/>
    <xf numFmtId="168" fontId="3" fillId="0" borderId="0" xfId="0" applyNumberFormat="1" applyFont="1" applyAlignment="1">
      <alignment horizontal="center"/>
    </xf>
    <xf numFmtId="37" fontId="3" fillId="0" borderId="0" xfId="0" applyNumberFormat="1" applyFont="1"/>
    <xf numFmtId="0" fontId="17" fillId="0" borderId="0" xfId="0" applyNumberFormat="1" applyFont="1" applyAlignment="1" applyProtection="1">
      <alignment horizontal="right"/>
      <protection locked="0"/>
    </xf>
    <xf numFmtId="3" fontId="3" fillId="0" borderId="0" xfId="4" applyNumberFormat="1" applyFont="1" applyAlignment="1"/>
    <xf numFmtId="37" fontId="3" fillId="0" borderId="0" xfId="0" applyNumberFormat="1" applyFont="1" applyBorder="1" applyAlignment="1">
      <alignment horizontal="right" vertical="top"/>
    </xf>
    <xf numFmtId="164" fontId="3" fillId="0" borderId="0" xfId="0" applyNumberFormat="1" applyFont="1" applyAlignment="1" applyProtection="1">
      <protection locked="0"/>
    </xf>
    <xf numFmtId="0" fontId="5" fillId="0" borderId="0" xfId="0" applyNumberFormat="1" applyFont="1" applyProtection="1">
      <protection locked="0"/>
    </xf>
    <xf numFmtId="0" fontId="8" fillId="0" borderId="0" xfId="10" applyNumberFormat="1" applyFont="1" applyAlignment="1">
      <alignment horizontal="centerContinuous"/>
    </xf>
    <xf numFmtId="0" fontId="10" fillId="0" borderId="0" xfId="10" applyFont="1" applyAlignment="1"/>
    <xf numFmtId="0" fontId="8" fillId="0" borderId="0" xfId="10" applyNumberFormat="1" applyFont="1" applyAlignment="1"/>
    <xf numFmtId="0" fontId="8" fillId="0" borderId="0" xfId="10" applyNumberFormat="1" applyFont="1" applyAlignment="1">
      <alignment horizontal="center"/>
    </xf>
    <xf numFmtId="0" fontId="8" fillId="0" borderId="1" xfId="10" applyNumberFormat="1" applyFont="1" applyBorder="1" applyAlignment="1">
      <alignment horizontal="center"/>
    </xf>
    <xf numFmtId="37" fontId="8" fillId="0" borderId="1" xfId="10" applyNumberFormat="1" applyFont="1" applyBorder="1" applyAlignment="1">
      <alignment horizontal="center"/>
    </xf>
    <xf numFmtId="37" fontId="8" fillId="0" borderId="0" xfId="10" applyNumberFormat="1" applyFont="1" applyAlignment="1">
      <alignment horizontal="center"/>
    </xf>
    <xf numFmtId="3" fontId="8" fillId="0" borderId="0" xfId="10" applyNumberFormat="1" applyFont="1" applyAlignment="1">
      <alignment horizontal="center"/>
    </xf>
    <xf numFmtId="3" fontId="8" fillId="0" borderId="1" xfId="10" applyNumberFormat="1" applyFont="1" applyBorder="1" applyAlignment="1">
      <alignment horizontal="center"/>
    </xf>
    <xf numFmtId="3" fontId="8" fillId="0" borderId="0" xfId="10" applyNumberFormat="1" applyFont="1" applyAlignment="1"/>
    <xf numFmtId="0" fontId="8" fillId="0" borderId="1" xfId="10" applyNumberFormat="1" applyFont="1" applyBorder="1" applyAlignment="1"/>
    <xf numFmtId="3" fontId="8" fillId="0" borderId="4" xfId="10" applyNumberFormat="1" applyFont="1" applyBorder="1" applyAlignment="1"/>
    <xf numFmtId="3" fontId="8" fillId="0" borderId="2" xfId="10" applyNumberFormat="1" applyFont="1" applyBorder="1" applyAlignment="1"/>
    <xf numFmtId="3" fontId="8" fillId="0" borderId="0" xfId="10" applyNumberFormat="1" applyFont="1" applyBorder="1" applyAlignment="1"/>
    <xf numFmtId="0" fontId="10" fillId="0" borderId="0" xfId="10" applyNumberFormat="1" applyFont="1" applyAlignment="1">
      <alignment horizontal="centerContinuous"/>
    </xf>
    <xf numFmtId="4" fontId="8" fillId="0" borderId="0" xfId="10" applyNumberFormat="1" applyFont="1" applyAlignment="1"/>
    <xf numFmtId="0" fontId="8" fillId="0" borderId="0" xfId="10" applyFont="1" applyAlignment="1"/>
    <xf numFmtId="0" fontId="10" fillId="0" borderId="0" xfId="10" applyFont="1"/>
    <xf numFmtId="0" fontId="10" fillId="0" borderId="0" xfId="0" applyNumberFormat="1" applyFont="1" applyAlignment="1">
      <alignment horizontal="centerContinuous"/>
    </xf>
    <xf numFmtId="0" fontId="5" fillId="0" borderId="0" xfId="0" applyNumberFormat="1" applyFont="1"/>
    <xf numFmtId="0" fontId="18" fillId="0" borderId="0" xfId="0" applyNumberFormat="1" applyFont="1" applyAlignment="1" applyProtection="1">
      <protection locked="0"/>
    </xf>
    <xf numFmtId="3" fontId="5" fillId="0" borderId="0" xfId="0" applyNumberFormat="1" applyFont="1"/>
    <xf numFmtId="0" fontId="5" fillId="0" borderId="0" xfId="8" applyFont="1" applyAlignment="1"/>
    <xf numFmtId="0" fontId="19" fillId="0" borderId="0" xfId="0" applyNumberFormat="1" applyFont="1" applyAlignment="1" applyProtection="1">
      <protection locked="0"/>
    </xf>
    <xf numFmtId="4" fontId="19" fillId="0" borderId="0" xfId="0" applyNumberFormat="1" applyFont="1" applyAlignment="1" applyProtection="1">
      <protection locked="0"/>
    </xf>
    <xf numFmtId="174" fontId="19" fillId="0" borderId="0" xfId="1" applyNumberFormat="1" applyFont="1" applyAlignment="1" applyProtection="1">
      <protection locked="0"/>
    </xf>
    <xf numFmtId="37" fontId="5" fillId="0" borderId="0" xfId="0" applyNumberFormat="1" applyFont="1" applyAlignment="1" applyProtection="1">
      <protection locked="0"/>
    </xf>
    <xf numFmtId="0" fontId="20" fillId="0" borderId="0" xfId="0" applyNumberFormat="1" applyFont="1" applyAlignment="1" applyProtection="1">
      <protection locked="0"/>
    </xf>
    <xf numFmtId="0" fontId="7" fillId="0" borderId="0" xfId="4" applyNumberFormat="1" applyFont="1" applyAlignment="1"/>
    <xf numFmtId="0" fontId="19" fillId="0" borderId="0" xfId="4" applyFont="1" applyAlignment="1"/>
    <xf numFmtId="174" fontId="8" fillId="0" borderId="0" xfId="1" applyNumberFormat="1" applyFont="1" applyAlignment="1" applyProtection="1">
      <protection locked="0"/>
    </xf>
    <xf numFmtId="0" fontId="8" fillId="0" borderId="0" xfId="0" applyNumberFormat="1" applyFont="1" applyAlignment="1" applyProtection="1">
      <alignment horizontal="right"/>
      <protection locked="0"/>
    </xf>
    <xf numFmtId="1" fontId="3" fillId="0" borderId="0" xfId="1" applyNumberFormat="1" applyFont="1" applyAlignment="1"/>
    <xf numFmtId="0" fontId="3" fillId="0" borderId="0" xfId="5" applyNumberFormat="1" applyFont="1" applyAlignment="1">
      <alignment horizontal="justify" vertical="top" wrapText="1"/>
    </xf>
    <xf numFmtId="0" fontId="5" fillId="0" borderId="0" xfId="0" applyNumberFormat="1" applyFont="1" applyBorder="1" applyAlignment="1" applyProtection="1">
      <alignment horizontal="center"/>
      <protection locked="0"/>
    </xf>
    <xf numFmtId="164" fontId="4" fillId="0" borderId="0" xfId="5" applyNumberFormat="1" applyFont="1" applyBorder="1" applyAlignment="1"/>
    <xf numFmtId="0" fontId="5" fillId="0" borderId="0" xfId="5" applyBorder="1" applyAlignment="1"/>
    <xf numFmtId="3" fontId="5" fillId="0" borderId="0" xfId="5" applyNumberFormat="1" applyBorder="1" applyAlignment="1"/>
    <xf numFmtId="164" fontId="3" fillId="0" borderId="0" xfId="5" applyNumberFormat="1" applyFont="1" applyBorder="1" applyAlignment="1"/>
    <xf numFmtId="3" fontId="3" fillId="0" borderId="0" xfId="5" applyNumberFormat="1" applyFont="1" applyBorder="1" applyAlignment="1"/>
    <xf numFmtId="0" fontId="5" fillId="0" borderId="0" xfId="5" applyBorder="1"/>
    <xf numFmtId="37" fontId="3" fillId="0" borderId="0" xfId="0" applyNumberFormat="1" applyFont="1" applyAlignment="1">
      <alignment horizontal="left"/>
    </xf>
    <xf numFmtId="41" fontId="3" fillId="0" borderId="0" xfId="0" applyNumberFormat="1" applyFont="1" applyAlignment="1" applyProtection="1">
      <protection locked="0"/>
    </xf>
    <xf numFmtId="174" fontId="3" fillId="0" borderId="0" xfId="0" applyNumberFormat="1" applyFont="1" applyAlignment="1" applyProtection="1">
      <protection locked="0"/>
    </xf>
    <xf numFmtId="180" fontId="3" fillId="0" borderId="0" xfId="1" applyNumberFormat="1" applyFont="1" applyBorder="1" applyAlignment="1">
      <alignment horizontal="right" vertical="top"/>
    </xf>
    <xf numFmtId="180" fontId="3" fillId="0" borderId="0" xfId="1" applyNumberFormat="1" applyFont="1" applyAlignment="1"/>
    <xf numFmtId="37" fontId="5" fillId="0" borderId="0" xfId="0" applyNumberFormat="1" applyFont="1" applyAlignment="1" applyProtection="1">
      <alignment horizontal="center"/>
      <protection locked="0"/>
    </xf>
    <xf numFmtId="37" fontId="5" fillId="0" borderId="0" xfId="0" applyNumberFormat="1" applyFont="1" applyAlignment="1" applyProtection="1">
      <alignment horizontal="right"/>
      <protection locked="0"/>
    </xf>
    <xf numFmtId="16" fontId="5" fillId="0" borderId="0" xfId="0" quotePrefix="1" applyNumberFormat="1" applyFont="1" applyAlignment="1" applyProtection="1">
      <alignment horizontal="center"/>
      <protection locked="0"/>
    </xf>
    <xf numFmtId="2" fontId="5" fillId="0" borderId="0" xfId="0" quotePrefix="1" applyNumberFormat="1" applyFont="1" applyAlignment="1" applyProtection="1">
      <alignment horizontal="center"/>
      <protection locked="0"/>
    </xf>
    <xf numFmtId="0" fontId="5" fillId="0" borderId="0" xfId="0" applyNumberFormat="1" applyFont="1" applyBorder="1" applyAlignment="1" applyProtection="1">
      <protection locked="0"/>
    </xf>
    <xf numFmtId="0" fontId="19" fillId="0" borderId="0" xfId="0" applyNumberFormat="1" applyFont="1" applyBorder="1" applyAlignment="1" applyProtection="1">
      <protection locked="0"/>
    </xf>
    <xf numFmtId="0" fontId="19" fillId="0" borderId="0" xfId="0" applyNumberFormat="1" applyFont="1" applyBorder="1" applyAlignment="1" applyProtection="1">
      <alignment horizontal="centerContinuous"/>
      <protection locked="0"/>
    </xf>
    <xf numFmtId="0" fontId="19" fillId="0" borderId="0" xfId="0" applyNumberFormat="1" applyFont="1" applyBorder="1" applyAlignment="1" applyProtection="1">
      <alignment horizontal="center"/>
      <protection locked="0"/>
    </xf>
    <xf numFmtId="43" fontId="5" fillId="0" borderId="0" xfId="1" applyFont="1" applyBorder="1" applyAlignment="1" applyProtection="1">
      <protection locked="0"/>
    </xf>
    <xf numFmtId="174" fontId="5" fillId="0" borderId="0" xfId="1" applyNumberFormat="1" applyFont="1" applyBorder="1" applyAlignment="1" applyProtection="1">
      <protection locked="0"/>
    </xf>
    <xf numFmtId="0" fontId="18" fillId="0" borderId="0" xfId="0" applyNumberFormat="1" applyFont="1" applyBorder="1" applyAlignment="1" applyProtection="1">
      <protection locked="0"/>
    </xf>
    <xf numFmtId="43" fontId="18" fillId="0" borderId="0" xfId="1" applyFont="1" applyBorder="1" applyAlignment="1" applyProtection="1">
      <protection locked="0"/>
    </xf>
    <xf numFmtId="4" fontId="19" fillId="0" borderId="0" xfId="0" applyNumberFormat="1" applyFont="1" applyBorder="1" applyAlignment="1" applyProtection="1">
      <protection locked="0"/>
    </xf>
    <xf numFmtId="174" fontId="19" fillId="0" borderId="0" xfId="1" applyNumberFormat="1" applyFont="1" applyBorder="1" applyAlignment="1" applyProtection="1">
      <protection locked="0"/>
    </xf>
    <xf numFmtId="0" fontId="5" fillId="0" borderId="0" xfId="7" applyFont="1" applyBorder="1" applyAlignment="1"/>
    <xf numFmtId="164" fontId="3" fillId="0" borderId="0" xfId="7" applyNumberFormat="1" applyFont="1" applyBorder="1" applyAlignment="1"/>
    <xf numFmtId="37" fontId="3" fillId="0" borderId="0" xfId="7" applyNumberFormat="1" applyFont="1" applyBorder="1" applyAlignment="1"/>
    <xf numFmtId="0" fontId="8" fillId="0" borderId="0" xfId="4" applyNumberFormat="1" applyFont="1" applyAlignment="1"/>
    <xf numFmtId="165" fontId="21" fillId="0" borderId="0" xfId="10" applyNumberFormat="1" applyFont="1" applyAlignment="1"/>
    <xf numFmtId="0" fontId="4" fillId="0" borderId="0" xfId="10" applyNumberFormat="1" applyFont="1" applyAlignment="1"/>
    <xf numFmtId="4" fontId="22" fillId="0" borderId="0" xfId="10" applyNumberFormat="1" applyFont="1" applyAlignment="1"/>
    <xf numFmtId="4" fontId="4" fillId="0" borderId="0" xfId="10" applyNumberFormat="1" applyFont="1" applyAlignment="1"/>
    <xf numFmtId="0" fontId="8" fillId="0" borderId="0" xfId="10" applyNumberFormat="1" applyFont="1" applyAlignment="1">
      <alignment horizontal="left"/>
    </xf>
    <xf numFmtId="0" fontId="8" fillId="0" borderId="0" xfId="10" applyFont="1" applyBorder="1" applyAlignment="1"/>
    <xf numFmtId="0" fontId="8" fillId="0" borderId="0" xfId="10" applyFont="1" applyBorder="1" applyAlignment="1">
      <alignment horizontal="center"/>
    </xf>
    <xf numFmtId="0" fontId="8" fillId="0" borderId="0" xfId="10" applyNumberFormat="1" applyFont="1" applyBorder="1" applyAlignment="1">
      <alignment horizontal="centerContinuous"/>
    </xf>
    <xf numFmtId="0" fontId="8" fillId="0" borderId="0" xfId="10" applyNumberFormat="1" applyFont="1" applyBorder="1" applyAlignment="1">
      <alignment horizontal="center"/>
    </xf>
    <xf numFmtId="0" fontId="8" fillId="0" borderId="0" xfId="0" applyNumberFormat="1" applyFont="1" applyAlignment="1">
      <alignment horizontal="center"/>
    </xf>
    <xf numFmtId="0" fontId="8" fillId="0" borderId="0" xfId="0" applyNumberFormat="1" applyFont="1" applyAlignment="1"/>
    <xf numFmtId="2" fontId="8" fillId="0" borderId="0" xfId="0" applyNumberFormat="1" applyFont="1" applyAlignment="1"/>
    <xf numFmtId="165" fontId="8" fillId="0" borderId="0" xfId="10" applyNumberFormat="1" applyFont="1" applyAlignment="1">
      <alignment horizontal="right"/>
    </xf>
    <xf numFmtId="164" fontId="3" fillId="0" borderId="0" xfId="0" applyFont="1" applyBorder="1"/>
    <xf numFmtId="37" fontId="3" fillId="0" borderId="0" xfId="0" applyNumberFormat="1" applyFont="1" applyBorder="1" applyAlignment="1" applyProtection="1">
      <protection locked="0"/>
    </xf>
    <xf numFmtId="42" fontId="8" fillId="0" borderId="0" xfId="0" applyNumberFormat="1" applyFont="1" applyBorder="1" applyAlignment="1" applyProtection="1">
      <protection locked="0"/>
    </xf>
    <xf numFmtId="164" fontId="23" fillId="0" borderId="0" xfId="0" applyFont="1"/>
    <xf numFmtId="164" fontId="2" fillId="0" borderId="0" xfId="0" applyFont="1"/>
    <xf numFmtId="0" fontId="23" fillId="0" borderId="0" xfId="0" applyNumberFormat="1" applyFont="1" applyAlignment="1" applyProtection="1">
      <protection locked="0"/>
    </xf>
    <xf numFmtId="39" fontId="3" fillId="0" borderId="0" xfId="0" applyNumberFormat="1" applyFont="1" applyAlignment="1"/>
    <xf numFmtId="0" fontId="17" fillId="0" borderId="0" xfId="10" applyFont="1" applyAlignment="1"/>
    <xf numFmtId="164" fontId="3" fillId="0" borderId="0" xfId="0" applyFont="1" applyFill="1"/>
    <xf numFmtId="168" fontId="3" fillId="0" borderId="0" xfId="0" applyNumberFormat="1" applyFont="1" applyFill="1" applyAlignment="1">
      <alignment horizontal="center"/>
    </xf>
    <xf numFmtId="0" fontId="3" fillId="0" borderId="0" xfId="0" applyNumberFormat="1" applyFont="1" applyFill="1" applyAlignment="1" applyProtection="1">
      <protection locked="0"/>
    </xf>
    <xf numFmtId="16" fontId="8" fillId="0" borderId="0" xfId="0" applyNumberFormat="1" applyFont="1" applyAlignment="1" applyProtection="1">
      <protection locked="0"/>
    </xf>
    <xf numFmtId="184" fontId="5" fillId="0" borderId="0" xfId="2" applyNumberFormat="1" applyFont="1" applyAlignment="1" applyProtection="1">
      <protection locked="0"/>
    </xf>
    <xf numFmtId="182" fontId="5" fillId="0" borderId="0" xfId="1" applyNumberFormat="1" applyFont="1" applyAlignment="1" applyProtection="1">
      <protection locked="0"/>
    </xf>
    <xf numFmtId="43" fontId="5" fillId="0" borderId="0" xfId="1" applyFont="1" applyAlignment="1" applyProtection="1">
      <protection locked="0"/>
    </xf>
    <xf numFmtId="43" fontId="5" fillId="0" borderId="0" xfId="1" applyFont="1" applyBorder="1" applyAlignment="1" applyProtection="1">
      <alignment horizontal="center"/>
      <protection locked="0"/>
    </xf>
    <xf numFmtId="44" fontId="5" fillId="0" borderId="0" xfId="2" applyFont="1" applyAlignment="1" applyProtection="1">
      <protection locked="0"/>
    </xf>
    <xf numFmtId="44" fontId="5" fillId="0" borderId="0" xfId="2" applyNumberFormat="1" applyFont="1" applyAlignment="1" applyProtection="1">
      <protection locked="0"/>
    </xf>
    <xf numFmtId="181" fontId="5" fillId="0" borderId="0" xfId="2" applyNumberFormat="1" applyFont="1" applyAlignment="1" applyProtection="1">
      <protection locked="0"/>
    </xf>
    <xf numFmtId="178" fontId="5" fillId="0" borderId="0" xfId="1" applyNumberFormat="1" applyFont="1" applyAlignment="1" applyProtection="1">
      <protection locked="0"/>
    </xf>
    <xf numFmtId="183" fontId="5" fillId="0" borderId="0" xfId="2" applyNumberFormat="1" applyFont="1" applyAlignment="1" applyProtection="1">
      <protection locked="0"/>
    </xf>
    <xf numFmtId="169" fontId="3" fillId="0" borderId="0" xfId="0" applyNumberFormat="1" applyFont="1" applyAlignment="1" applyProtection="1">
      <protection locked="0"/>
    </xf>
    <xf numFmtId="0" fontId="10" fillId="0" borderId="0" xfId="0" applyNumberFormat="1" applyFont="1" applyAlignment="1" applyProtection="1">
      <alignment horizontal="centerContinuous"/>
      <protection locked="0"/>
    </xf>
    <xf numFmtId="43" fontId="5" fillId="0" borderId="0" xfId="1" applyNumberFormat="1" applyFont="1" applyAlignment="1" applyProtection="1">
      <protection locked="0"/>
    </xf>
    <xf numFmtId="176" fontId="5" fillId="0" borderId="3" xfId="11" applyFont="1" applyBorder="1" applyAlignment="1">
      <alignment horizontal="center"/>
    </xf>
    <xf numFmtId="0" fontId="3" fillId="0" borderId="0" xfId="0" applyNumberFormat="1" applyFont="1" applyAlignment="1" applyProtection="1">
      <protection locked="0"/>
    </xf>
    <xf numFmtId="176" fontId="5" fillId="0" borderId="0" xfId="11" applyFont="1" applyAlignment="1">
      <alignment horizontal="center"/>
    </xf>
    <xf numFmtId="174" fontId="25" fillId="0" borderId="0" xfId="1" applyNumberFormat="1" applyFont="1" applyAlignment="1" applyProtection="1">
      <protection locked="0"/>
    </xf>
    <xf numFmtId="0" fontId="25" fillId="0" borderId="0" xfId="0" applyNumberFormat="1" applyFont="1" applyAlignment="1" applyProtection="1">
      <protection locked="0"/>
    </xf>
    <xf numFmtId="0" fontId="25" fillId="0" borderId="0" xfId="0" applyNumberFormat="1" applyFont="1" applyAlignment="1" applyProtection="1">
      <alignment horizontal="center"/>
      <protection locked="0"/>
    </xf>
    <xf numFmtId="37" fontId="25" fillId="0" borderId="0" xfId="0" applyNumberFormat="1" applyFont="1" applyAlignment="1" applyProtection="1">
      <protection locked="0"/>
    </xf>
    <xf numFmtId="0" fontId="24" fillId="0" borderId="0" xfId="8" applyFont="1" applyAlignment="1">
      <alignment horizontal="center"/>
    </xf>
    <xf numFmtId="174" fontId="24" fillId="0" borderId="0" xfId="1" applyNumberFormat="1" applyFont="1" applyAlignment="1"/>
    <xf numFmtId="174" fontId="24" fillId="0" borderId="0" xfId="1" applyNumberFormat="1" applyFont="1" applyAlignment="1" applyProtection="1">
      <alignment horizontal="center"/>
      <protection locked="0"/>
    </xf>
    <xf numFmtId="1" fontId="5" fillId="0" borderId="0" xfId="0" applyNumberFormat="1" applyFont="1" applyAlignment="1" applyProtection="1">
      <alignment horizontal="center"/>
      <protection locked="0"/>
    </xf>
    <xf numFmtId="0" fontId="24" fillId="0" borderId="0" xfId="4" applyFont="1" applyAlignment="1"/>
    <xf numFmtId="0" fontId="25" fillId="0" borderId="0" xfId="4" applyNumberFormat="1" applyFont="1" applyAlignment="1"/>
    <xf numFmtId="16" fontId="25" fillId="0" borderId="0" xfId="0" applyNumberFormat="1" applyFont="1" applyAlignment="1" applyProtection="1">
      <protection locked="0"/>
    </xf>
    <xf numFmtId="175" fontId="5" fillId="0" borderId="0" xfId="1" applyNumberFormat="1" applyFont="1" applyAlignment="1"/>
    <xf numFmtId="174" fontId="5" fillId="0" borderId="0" xfId="1" applyNumberFormat="1" applyFont="1" applyAlignment="1" applyProtection="1">
      <alignment horizontal="center"/>
      <protection locked="0"/>
    </xf>
    <xf numFmtId="43" fontId="5" fillId="0" borderId="0" xfId="1" applyFont="1" applyAlignment="1" applyProtection="1">
      <alignment horizontal="center"/>
      <protection locked="0"/>
    </xf>
    <xf numFmtId="0" fontId="3" fillId="0" borderId="0" xfId="0" applyNumberFormat="1" applyFont="1" applyAlignment="1" applyProtection="1">
      <protection locked="0"/>
    </xf>
    <xf numFmtId="43" fontId="3" fillId="0" borderId="0" xfId="1" applyFont="1" applyAlignment="1"/>
    <xf numFmtId="16" fontId="8" fillId="0" borderId="0" xfId="10" quotePrefix="1" applyNumberFormat="1" applyFont="1" applyAlignment="1">
      <alignment horizontal="center"/>
    </xf>
    <xf numFmtId="0" fontId="25" fillId="0" borderId="3" xfId="0" applyNumberFormat="1" applyFont="1" applyBorder="1" applyAlignment="1" applyProtection="1">
      <protection locked="0"/>
    </xf>
    <xf numFmtId="0" fontId="3" fillId="0" borderId="0" xfId="12" applyNumberFormat="1" applyFont="1" applyAlignment="1"/>
    <xf numFmtId="0" fontId="25" fillId="0" borderId="0" xfId="0" applyNumberFormat="1" applyFont="1" applyAlignment="1"/>
    <xf numFmtId="176" fontId="24" fillId="0" borderId="0" xfId="11" applyFont="1" applyAlignment="1"/>
    <xf numFmtId="174" fontId="3" fillId="0" borderId="0" xfId="1" applyNumberFormat="1" applyFont="1" applyAlignment="1" applyProtection="1">
      <alignment horizontal="center"/>
      <protection locked="0"/>
    </xf>
    <xf numFmtId="174" fontId="3" fillId="0" borderId="0" xfId="1" applyNumberFormat="1" applyFont="1" applyFill="1" applyAlignment="1" applyProtection="1">
      <alignment horizontal="center"/>
      <protection locked="0"/>
    </xf>
    <xf numFmtId="174" fontId="3" fillId="0" borderId="0" xfId="1" applyNumberFormat="1" applyFont="1" applyBorder="1" applyAlignment="1" applyProtection="1">
      <protection locked="0"/>
    </xf>
    <xf numFmtId="174" fontId="3" fillId="0" borderId="0" xfId="1" applyNumberFormat="1" applyFont="1" applyFill="1" applyAlignment="1" applyProtection="1">
      <protection locked="0"/>
    </xf>
    <xf numFmtId="174" fontId="3" fillId="0" borderId="0" xfId="1" applyNumberFormat="1" applyFont="1" applyBorder="1"/>
    <xf numFmtId="174" fontId="3" fillId="0" borderId="3" xfId="1" applyNumberFormat="1" applyFont="1" applyBorder="1" applyAlignment="1" applyProtection="1">
      <alignment horizontal="centerContinuous"/>
      <protection locked="0"/>
    </xf>
    <xf numFmtId="0" fontId="3" fillId="0" borderId="3" xfId="0" applyNumberFormat="1" applyFont="1" applyBorder="1" applyAlignment="1" applyProtection="1">
      <alignment horizontal="centerContinuous"/>
      <protection locked="0"/>
    </xf>
    <xf numFmtId="175" fontId="5" fillId="0" borderId="0" xfId="1" applyNumberFormat="1" applyFont="1" applyAlignment="1" applyProtection="1">
      <protection locked="0"/>
    </xf>
    <xf numFmtId="175" fontId="3" fillId="0" borderId="0" xfId="1" applyNumberFormat="1" applyFont="1" applyAlignment="1" applyProtection="1">
      <alignment horizontal="center"/>
      <protection locked="0"/>
    </xf>
    <xf numFmtId="175" fontId="3" fillId="0" borderId="0" xfId="1" applyNumberFormat="1" applyFont="1" applyFill="1" applyAlignment="1" applyProtection="1">
      <alignment horizontal="center"/>
      <protection locked="0"/>
    </xf>
    <xf numFmtId="175" fontId="3" fillId="0" borderId="0" xfId="1" applyNumberFormat="1" applyFont="1" applyAlignment="1" applyProtection="1">
      <protection locked="0"/>
    </xf>
    <xf numFmtId="175" fontId="3" fillId="0" borderId="0" xfId="1" applyNumberFormat="1" applyFont="1" applyBorder="1" applyAlignment="1" applyProtection="1">
      <protection locked="0"/>
    </xf>
    <xf numFmtId="175" fontId="3" fillId="0" borderId="0" xfId="1" applyNumberFormat="1" applyFont="1" applyFill="1" applyAlignment="1" applyProtection="1">
      <protection locked="0"/>
    </xf>
    <xf numFmtId="175" fontId="3" fillId="0" borderId="0" xfId="1" applyNumberFormat="1" applyFont="1"/>
    <xf numFmtId="175" fontId="3" fillId="0" borderId="0" xfId="1" applyNumberFormat="1" applyFont="1" applyBorder="1"/>
    <xf numFmtId="0" fontId="3" fillId="0" borderId="0" xfId="0" applyNumberFormat="1" applyFont="1" applyAlignment="1" applyProtection="1">
      <protection locked="0"/>
    </xf>
    <xf numFmtId="3" fontId="27" fillId="0" borderId="0" xfId="14" applyNumberFormat="1" applyFont="1" applyFill="1" applyBorder="1" applyAlignment="1">
      <alignment horizontal="left"/>
    </xf>
    <xf numFmtId="168" fontId="3" fillId="0" borderId="0" xfId="0" applyNumberFormat="1" applyFont="1" applyBorder="1" applyAlignment="1" applyProtection="1">
      <protection locked="0"/>
    </xf>
    <xf numFmtId="168" fontId="3" fillId="0" borderId="0" xfId="0" applyNumberFormat="1" applyFont="1" applyAlignment="1" applyProtection="1">
      <alignment horizontal="right"/>
      <protection locked="0"/>
    </xf>
    <xf numFmtId="0" fontId="3" fillId="0" borderId="0" xfId="10" applyFont="1" applyAlignment="1"/>
    <xf numFmtId="176" fontId="5" fillId="0" borderId="0" xfId="11" applyFont="1" applyAlignment="1">
      <alignment horizontal="center"/>
    </xf>
    <xf numFmtId="176" fontId="28" fillId="0" borderId="0" xfId="11" applyFont="1" applyAlignment="1">
      <alignment horizontal="centerContinuous"/>
    </xf>
    <xf numFmtId="176" fontId="2" fillId="0" borderId="0" xfId="11" applyFont="1" applyAlignment="1">
      <alignment horizontal="centerContinuous"/>
    </xf>
    <xf numFmtId="2" fontId="5" fillId="0" borderId="0" xfId="7" applyNumberFormat="1" applyFont="1" applyAlignment="1"/>
    <xf numFmtId="187" fontId="5" fillId="0" borderId="0" xfId="7" applyNumberFormat="1" applyFont="1" applyBorder="1" applyAlignment="1"/>
    <xf numFmtId="176" fontId="5" fillId="0" borderId="0" xfId="11" applyFont="1" applyAlignment="1">
      <alignment horizontal="center"/>
    </xf>
    <xf numFmtId="43" fontId="5" fillId="0" borderId="0" xfId="1" applyFont="1" applyAlignment="1" applyProtection="1">
      <alignment horizontal="right"/>
      <protection locked="0"/>
    </xf>
    <xf numFmtId="37" fontId="5" fillId="0" borderId="0" xfId="0" quotePrefix="1" applyNumberFormat="1" applyFont="1" applyAlignment="1" applyProtection="1">
      <alignment horizontal="center"/>
      <protection locked="0"/>
    </xf>
    <xf numFmtId="0" fontId="7" fillId="0" borderId="0" xfId="10" applyFont="1" applyAlignment="1"/>
    <xf numFmtId="0" fontId="3" fillId="0" borderId="3" xfId="0" applyNumberFormat="1" applyFont="1" applyBorder="1" applyAlignment="1" applyProtection="1">
      <protection locked="0"/>
    </xf>
    <xf numFmtId="0" fontId="14" fillId="0" borderId="0" xfId="0" applyNumberFormat="1" applyFont="1" applyAlignment="1">
      <alignment horizontal="centerContinuous"/>
    </xf>
    <xf numFmtId="0" fontId="14" fillId="0" borderId="0" xfId="0" applyNumberFormat="1" applyFont="1" applyAlignment="1"/>
    <xf numFmtId="0" fontId="14" fillId="0" borderId="0" xfId="0" applyNumberFormat="1" applyFont="1" applyAlignment="1">
      <alignment horizontal="center"/>
    </xf>
    <xf numFmtId="0" fontId="14" fillId="0" borderId="1" xfId="0" applyNumberFormat="1" applyFont="1" applyBorder="1" applyAlignment="1">
      <alignment horizontal="centerContinuous"/>
    </xf>
    <xf numFmtId="0" fontId="14" fillId="0" borderId="1" xfId="0" applyNumberFormat="1" applyFont="1" applyBorder="1" applyAlignment="1">
      <alignment horizontal="center"/>
    </xf>
    <xf numFmtId="0" fontId="14" fillId="0" borderId="0" xfId="0" applyNumberFormat="1" applyFont="1" applyAlignment="1" applyProtection="1">
      <protection locked="0"/>
    </xf>
    <xf numFmtId="164" fontId="14" fillId="0" borderId="0" xfId="0" applyNumberFormat="1" applyFont="1" applyAlignment="1"/>
    <xf numFmtId="164" fontId="14" fillId="0" borderId="0" xfId="0" applyFont="1" applyAlignment="1"/>
    <xf numFmtId="3" fontId="14" fillId="0" borderId="0" xfId="0" applyNumberFormat="1" applyFont="1" applyAlignment="1"/>
    <xf numFmtId="3" fontId="14" fillId="0" borderId="1" xfId="0" applyNumberFormat="1" applyFont="1" applyBorder="1" applyAlignment="1"/>
    <xf numFmtId="165" fontId="14" fillId="0" borderId="1" xfId="0" applyNumberFormat="1" applyFont="1" applyBorder="1" applyAlignment="1"/>
    <xf numFmtId="171" fontId="14" fillId="0" borderId="4" xfId="0" applyNumberFormat="1" applyFont="1" applyBorder="1" applyAlignment="1"/>
    <xf numFmtId="3" fontId="14" fillId="0" borderId="0" xfId="0" applyNumberFormat="1" applyFont="1" applyBorder="1" applyAlignment="1"/>
    <xf numFmtId="165" fontId="14" fillId="0" borderId="0" xfId="0" applyNumberFormat="1" applyFont="1" applyAlignment="1"/>
    <xf numFmtId="165" fontId="14" fillId="0" borderId="2" xfId="0" applyNumberFormat="1" applyFont="1" applyBorder="1" applyAlignment="1"/>
    <xf numFmtId="0" fontId="14" fillId="0" borderId="0" xfId="5" applyNumberFormat="1" applyFont="1" applyAlignment="1"/>
    <xf numFmtId="0" fontId="29" fillId="0" borderId="0" xfId="5" applyNumberFormat="1" applyFont="1" applyAlignment="1"/>
    <xf numFmtId="0" fontId="14" fillId="0" borderId="0" xfId="5" applyNumberFormat="1" applyFont="1" applyAlignment="1">
      <alignment horizontal="centerContinuous"/>
    </xf>
    <xf numFmtId="0" fontId="14" fillId="0" borderId="0" xfId="5" applyNumberFormat="1" applyFont="1" applyAlignment="1">
      <alignment horizontal="center"/>
    </xf>
    <xf numFmtId="0" fontId="14" fillId="0" borderId="1" xfId="5" applyNumberFormat="1" applyFont="1" applyBorder="1" applyAlignment="1">
      <alignment horizontal="centerContinuous"/>
    </xf>
    <xf numFmtId="0" fontId="14" fillId="0" borderId="1" xfId="5" applyNumberFormat="1" applyFont="1" applyBorder="1" applyAlignment="1">
      <alignment horizontal="center"/>
    </xf>
    <xf numFmtId="0" fontId="14" fillId="0" borderId="0" xfId="5" applyFont="1" applyAlignment="1"/>
    <xf numFmtId="164" fontId="14" fillId="0" borderId="0" xfId="5" applyNumberFormat="1" applyFont="1" applyAlignment="1"/>
    <xf numFmtId="164" fontId="30" fillId="0" borderId="0" xfId="5" applyNumberFormat="1" applyFont="1" applyBorder="1" applyAlignment="1"/>
    <xf numFmtId="3" fontId="14" fillId="0" borderId="0" xfId="5" applyNumberFormat="1" applyFont="1" applyAlignment="1"/>
    <xf numFmtId="164" fontId="30" fillId="0" borderId="3" xfId="5" applyNumberFormat="1" applyFont="1" applyBorder="1" applyAlignment="1"/>
    <xf numFmtId="165" fontId="14" fillId="0" borderId="0" xfId="5" applyNumberFormat="1" applyFont="1" applyBorder="1" applyAlignment="1"/>
    <xf numFmtId="164" fontId="14" fillId="0" borderId="4" xfId="5" applyNumberFormat="1" applyFont="1" applyBorder="1" applyAlignment="1"/>
    <xf numFmtId="0" fontId="14" fillId="0" borderId="0" xfId="0" applyNumberFormat="1" applyFont="1" applyAlignment="1">
      <alignment horizontal="centerContinuous" vertical="top" wrapText="1"/>
    </xf>
    <xf numFmtId="3" fontId="14" fillId="0" borderId="1" xfId="0" quotePrefix="1" applyNumberFormat="1" applyFont="1" applyBorder="1" applyAlignment="1">
      <alignment horizontal="center"/>
    </xf>
    <xf numFmtId="3" fontId="30" fillId="0" borderId="0" xfId="0" applyNumberFormat="1" applyFont="1" applyAlignment="1"/>
    <xf numFmtId="164" fontId="30" fillId="0" borderId="0" xfId="0" applyFont="1" applyAlignment="1"/>
    <xf numFmtId="164" fontId="14" fillId="0" borderId="4" xfId="0" applyFont="1" applyBorder="1" applyAlignment="1"/>
    <xf numFmtId="3" fontId="14" fillId="0" borderId="2" xfId="0" applyNumberFormat="1" applyFont="1" applyBorder="1" applyAlignment="1"/>
    <xf numFmtId="165" fontId="14" fillId="0" borderId="0" xfId="0" applyNumberFormat="1" applyFont="1" applyBorder="1" applyAlignment="1"/>
    <xf numFmtId="3" fontId="14" fillId="0" borderId="4" xfId="0" applyNumberFormat="1" applyFont="1" applyBorder="1" applyAlignment="1"/>
    <xf numFmtId="0" fontId="14" fillId="0" borderId="0" xfId="0" applyNumberFormat="1" applyFont="1" applyBorder="1"/>
    <xf numFmtId="42" fontId="14" fillId="0" borderId="0" xfId="0" applyNumberFormat="1" applyFont="1" applyAlignment="1"/>
    <xf numFmtId="41" fontId="14" fillId="0" borderId="0" xfId="0" applyNumberFormat="1" applyFont="1" applyAlignment="1"/>
    <xf numFmtId="41" fontId="14" fillId="0" borderId="1" xfId="0" applyNumberFormat="1" applyFont="1" applyBorder="1" applyAlignment="1"/>
    <xf numFmtId="41" fontId="14" fillId="0" borderId="4" xfId="0" applyNumberFormat="1" applyFont="1" applyBorder="1" applyAlignment="1"/>
    <xf numFmtId="164" fontId="14" fillId="0" borderId="4" xfId="0" applyNumberFormat="1" applyFont="1" applyBorder="1" applyAlignment="1"/>
    <xf numFmtId="0" fontId="29" fillId="0" borderId="0" xfId="0" applyNumberFormat="1" applyFont="1" applyAlignment="1"/>
    <xf numFmtId="0" fontId="14" fillId="0" borderId="2" xfId="5" applyNumberFormat="1" applyFont="1" applyBorder="1" applyAlignment="1"/>
    <xf numFmtId="3" fontId="14" fillId="0" borderId="2" xfId="5" applyNumberFormat="1" applyFont="1" applyBorder="1" applyAlignment="1"/>
    <xf numFmtId="165" fontId="14" fillId="0" borderId="0" xfId="5" applyNumberFormat="1" applyFont="1" applyAlignment="1"/>
    <xf numFmtId="165" fontId="14" fillId="0" borderId="2" xfId="5" applyNumberFormat="1" applyFont="1" applyBorder="1" applyAlignment="1"/>
    <xf numFmtId="0" fontId="3" fillId="0" borderId="0" xfId="0" applyNumberFormat="1" applyFont="1" applyAlignment="1" applyProtection="1">
      <protection locked="0"/>
    </xf>
    <xf numFmtId="0" fontId="14" fillId="0" borderId="0" xfId="0" applyNumberFormat="1" applyFont="1" applyAlignment="1">
      <alignment horizontal="center"/>
    </xf>
    <xf numFmtId="0" fontId="14" fillId="0" borderId="0" xfId="8" applyNumberFormat="1" applyFont="1" applyAlignment="1"/>
    <xf numFmtId="0" fontId="14" fillId="0" borderId="0" xfId="8" applyFont="1" applyAlignment="1"/>
    <xf numFmtId="0" fontId="14" fillId="0" borderId="0" xfId="8" applyNumberFormat="1" applyFont="1" applyAlignment="1">
      <alignment horizontal="center"/>
    </xf>
    <xf numFmtId="0" fontId="14" fillId="0" borderId="1" xfId="8" applyNumberFormat="1" applyFont="1" applyBorder="1" applyAlignment="1"/>
    <xf numFmtId="0" fontId="14" fillId="0" borderId="0" xfId="0" applyNumberFormat="1" applyFont="1" applyAlignment="1" applyProtection="1">
      <alignment horizontal="center"/>
      <protection locked="0"/>
    </xf>
    <xf numFmtId="0" fontId="14" fillId="0" borderId="2" xfId="8" applyNumberFormat="1" applyFont="1" applyBorder="1" applyAlignment="1"/>
    <xf numFmtId="0" fontId="14" fillId="0" borderId="0" xfId="8" applyNumberFormat="1" applyFont="1" applyBorder="1" applyAlignment="1"/>
    <xf numFmtId="0" fontId="14" fillId="0" borderId="0" xfId="7" applyNumberFormat="1" applyFont="1" applyAlignment="1"/>
    <xf numFmtId="0" fontId="14" fillId="0" borderId="0" xfId="7" applyNumberFormat="1" applyFont="1" applyAlignment="1">
      <alignment horizontal="center"/>
    </xf>
    <xf numFmtId="0" fontId="14" fillId="0" borderId="0" xfId="7" applyFont="1" applyAlignment="1"/>
    <xf numFmtId="0" fontId="14" fillId="0" borderId="0" xfId="7" applyNumberFormat="1" applyFont="1" applyAlignment="1">
      <alignment horizontal="centerContinuous"/>
    </xf>
    <xf numFmtId="0" fontId="14" fillId="0" borderId="1" xfId="7" applyNumberFormat="1" applyFont="1" applyBorder="1" applyAlignment="1">
      <alignment horizontal="center"/>
    </xf>
    <xf numFmtId="0" fontId="14" fillId="0" borderId="1" xfId="7" applyNumberFormat="1" applyFont="1" applyBorder="1" applyAlignment="1">
      <alignment horizontal="centerContinuous"/>
    </xf>
    <xf numFmtId="0" fontId="14" fillId="0" borderId="1" xfId="7" applyNumberFormat="1" applyFont="1" applyBorder="1" applyAlignment="1"/>
    <xf numFmtId="0" fontId="14" fillId="0" borderId="0" xfId="3" applyNumberFormat="1" applyFont="1" applyAlignment="1">
      <alignment horizontal="centerContinuous"/>
    </xf>
    <xf numFmtId="0" fontId="14" fillId="0" borderId="0" xfId="3" applyNumberFormat="1" applyFont="1" applyAlignment="1"/>
    <xf numFmtId="0" fontId="14" fillId="0" borderId="0" xfId="3" applyFont="1" applyAlignment="1"/>
    <xf numFmtId="0" fontId="14" fillId="0" borderId="1" xfId="3" applyNumberFormat="1" applyFont="1" applyBorder="1" applyAlignment="1">
      <alignment horizontal="center"/>
    </xf>
    <xf numFmtId="0" fontId="14" fillId="0" borderId="0" xfId="3" applyNumberFormat="1" applyFont="1" applyAlignment="1">
      <alignment horizontal="center"/>
    </xf>
    <xf numFmtId="0" fontId="14" fillId="0" borderId="1" xfId="3" applyNumberFormat="1" applyFont="1" applyBorder="1" applyAlignment="1">
      <alignment horizontal="centerContinuous"/>
    </xf>
    <xf numFmtId="0" fontId="14" fillId="0" borderId="1" xfId="3" applyNumberFormat="1" applyFont="1" applyBorder="1" applyAlignment="1"/>
    <xf numFmtId="164" fontId="14" fillId="0" borderId="0" xfId="3" applyNumberFormat="1" applyFont="1" applyAlignment="1"/>
    <xf numFmtId="37" fontId="14" fillId="0" borderId="0" xfId="3" applyNumberFormat="1" applyFont="1" applyBorder="1" applyAlignment="1"/>
    <xf numFmtId="164" fontId="14" fillId="0" borderId="2" xfId="3" applyNumberFormat="1" applyFont="1" applyBorder="1" applyAlignment="1"/>
    <xf numFmtId="0" fontId="14" fillId="0" borderId="0" xfId="4" applyNumberFormat="1" applyFont="1" applyAlignment="1">
      <alignment horizontal="centerContinuous"/>
    </xf>
    <xf numFmtId="0" fontId="14" fillId="0" borderId="0" xfId="4" applyNumberFormat="1" applyFont="1" applyAlignment="1"/>
    <xf numFmtId="0" fontId="14" fillId="0" borderId="1" xfId="4" applyNumberFormat="1" applyFont="1" applyBorder="1" applyAlignment="1">
      <alignment horizontal="center"/>
    </xf>
    <xf numFmtId="0" fontId="14" fillId="0" borderId="0" xfId="4" applyNumberFormat="1" applyFont="1" applyAlignment="1">
      <alignment horizontal="center"/>
    </xf>
    <xf numFmtId="0" fontId="14" fillId="0" borderId="1" xfId="4" applyNumberFormat="1" applyFont="1" applyBorder="1" applyAlignment="1">
      <alignment horizontal="centerContinuous"/>
    </xf>
    <xf numFmtId="0" fontId="14" fillId="0" borderId="1" xfId="4" applyNumberFormat="1" applyFont="1" applyBorder="1" applyAlignment="1">
      <alignment horizontal="left"/>
    </xf>
    <xf numFmtId="167" fontId="14" fillId="0" borderId="0" xfId="4" applyNumberFormat="1" applyFont="1" applyAlignment="1"/>
    <xf numFmtId="0" fontId="14" fillId="0" borderId="0" xfId="4" applyNumberFormat="1" applyFont="1" applyAlignment="1">
      <alignment horizontal="right"/>
    </xf>
    <xf numFmtId="0" fontId="14" fillId="0" borderId="2" xfId="4" applyNumberFormat="1" applyFont="1" applyBorder="1" applyAlignment="1"/>
    <xf numFmtId="0" fontId="14" fillId="0" borderId="0" xfId="4" applyNumberFormat="1" applyFont="1" applyBorder="1" applyAlignment="1"/>
    <xf numFmtId="0" fontId="14" fillId="0" borderId="0" xfId="4" applyFont="1" applyAlignment="1"/>
    <xf numFmtId="0" fontId="14" fillId="0" borderId="1" xfId="4" applyNumberFormat="1" applyFont="1" applyBorder="1" applyAlignment="1"/>
    <xf numFmtId="3" fontId="14" fillId="0" borderId="0" xfId="4" applyNumberFormat="1" applyFont="1" applyAlignment="1"/>
    <xf numFmtId="0" fontId="31" fillId="0" borderId="0" xfId="4" applyNumberFormat="1" applyFont="1" applyAlignment="1"/>
    <xf numFmtId="0" fontId="14" fillId="0" borderId="0" xfId="7" applyNumberFormat="1" applyFont="1" applyBorder="1" applyAlignment="1"/>
    <xf numFmtId="0" fontId="14" fillId="0" borderId="2" xfId="7" applyNumberFormat="1" applyFont="1" applyBorder="1" applyAlignment="1"/>
    <xf numFmtId="0" fontId="14" fillId="0" borderId="3" xfId="7" applyNumberFormat="1" applyFont="1" applyBorder="1" applyAlignment="1"/>
    <xf numFmtId="165" fontId="14" fillId="0" borderId="2" xfId="7" applyNumberFormat="1" applyFont="1" applyBorder="1" applyAlignment="1"/>
    <xf numFmtId="0" fontId="14" fillId="0" borderId="1" xfId="0" applyNumberFormat="1" applyFont="1" applyBorder="1" applyAlignment="1"/>
    <xf numFmtId="167" fontId="14" fillId="0" borderId="0" xfId="0" applyNumberFormat="1" applyFont="1" applyAlignment="1"/>
    <xf numFmtId="167" fontId="14" fillId="0" borderId="0" xfId="0" applyNumberFormat="1" applyFont="1" applyAlignment="1" applyProtection="1">
      <protection locked="0"/>
    </xf>
    <xf numFmtId="167" fontId="14" fillId="0" borderId="1" xfId="0" applyNumberFormat="1" applyFont="1" applyBorder="1" applyAlignment="1"/>
    <xf numFmtId="167" fontId="14" fillId="0" borderId="2" xfId="0" applyNumberFormat="1" applyFont="1" applyBorder="1" applyAlignment="1"/>
    <xf numFmtId="0" fontId="14" fillId="0" borderId="0" xfId="0" applyNumberFormat="1" applyFont="1" applyAlignment="1">
      <alignment horizontal="right"/>
    </xf>
    <xf numFmtId="164" fontId="14" fillId="0" borderId="0" xfId="0" applyNumberFormat="1" applyFont="1" applyAlignment="1" applyProtection="1">
      <protection locked="0"/>
    </xf>
    <xf numFmtId="164" fontId="14" fillId="0" borderId="2" xfId="0" applyFont="1" applyBorder="1" applyAlignment="1"/>
    <xf numFmtId="164" fontId="14" fillId="0" borderId="0" xfId="0" applyFont="1" applyBorder="1" applyAlignment="1"/>
    <xf numFmtId="0" fontId="14" fillId="0" borderId="0" xfId="6" applyNumberFormat="1" applyFont="1" applyAlignment="1">
      <alignment horizontal="centerContinuous"/>
    </xf>
    <xf numFmtId="0" fontId="14" fillId="0" borderId="0" xfId="6" applyNumberFormat="1" applyFont="1" applyAlignment="1"/>
    <xf numFmtId="0" fontId="14" fillId="0" borderId="0" xfId="6" applyNumberFormat="1" applyFont="1" applyAlignment="1">
      <alignment horizontal="center"/>
    </xf>
    <xf numFmtId="0" fontId="14" fillId="0" borderId="1" xfId="6" applyNumberFormat="1" applyFont="1" applyBorder="1" applyAlignment="1">
      <alignment horizontal="center"/>
    </xf>
    <xf numFmtId="0" fontId="14" fillId="0" borderId="1" xfId="6" applyNumberFormat="1" applyFont="1" applyBorder="1" applyAlignment="1">
      <alignment horizontal="centerContinuous"/>
    </xf>
    <xf numFmtId="166" fontId="14" fillId="0" borderId="0" xfId="6" applyNumberFormat="1" applyFont="1" applyAlignment="1"/>
    <xf numFmtId="3" fontId="14" fillId="0" borderId="2" xfId="6" applyNumberFormat="1" applyFont="1" applyBorder="1" applyAlignment="1"/>
    <xf numFmtId="37" fontId="14" fillId="0" borderId="0" xfId="6" applyNumberFormat="1" applyFont="1" applyBorder="1" applyAlignment="1"/>
    <xf numFmtId="164" fontId="14" fillId="0" borderId="2" xfId="6" applyNumberFormat="1" applyFont="1" applyBorder="1" applyAlignment="1"/>
    <xf numFmtId="3" fontId="14" fillId="0" borderId="0" xfId="6" applyNumberFormat="1" applyFont="1" applyAlignment="1"/>
    <xf numFmtId="0" fontId="14" fillId="0" borderId="0" xfId="6" applyFont="1" applyAlignment="1"/>
    <xf numFmtId="0" fontId="14" fillId="0" borderId="1" xfId="6" applyNumberFormat="1" applyFont="1" applyBorder="1" applyAlignment="1"/>
    <xf numFmtId="2" fontId="14" fillId="0" borderId="0" xfId="6" applyNumberFormat="1" applyFont="1" applyAlignment="1"/>
    <xf numFmtId="2" fontId="14" fillId="0" borderId="0" xfId="6" applyNumberFormat="1" applyFont="1" applyBorder="1" applyAlignment="1"/>
    <xf numFmtId="0" fontId="14" fillId="0" borderId="2" xfId="6" applyNumberFormat="1" applyFont="1" applyBorder="1" applyAlignment="1"/>
    <xf numFmtId="37" fontId="14" fillId="0" borderId="0" xfId="0" applyNumberFormat="1" applyFont="1" applyBorder="1" applyAlignment="1"/>
    <xf numFmtId="37" fontId="14" fillId="0" borderId="3" xfId="0" applyNumberFormat="1" applyFont="1" applyBorder="1" applyAlignment="1"/>
    <xf numFmtId="37" fontId="14" fillId="0" borderId="4" xfId="0" applyNumberFormat="1" applyFont="1" applyBorder="1" applyAlignment="1"/>
    <xf numFmtId="0" fontId="14" fillId="0" borderId="2" xfId="0" applyNumberFormat="1" applyFont="1" applyBorder="1"/>
    <xf numFmtId="170" fontId="5" fillId="0" borderId="0" xfId="7" applyNumberFormat="1" applyFont="1" applyAlignment="1"/>
    <xf numFmtId="176" fontId="5" fillId="0" borderId="0" xfId="11" applyFont="1" applyFill="1"/>
    <xf numFmtId="0" fontId="15" fillId="0" borderId="0" xfId="0" applyNumberFormat="1" applyFont="1" applyAlignment="1" applyProtection="1">
      <protection locked="0"/>
    </xf>
    <xf numFmtId="0" fontId="5" fillId="0" borderId="3" xfId="0" applyNumberFormat="1" applyFont="1" applyBorder="1" applyAlignment="1" applyProtection="1">
      <protection locked="0"/>
    </xf>
    <xf numFmtId="0" fontId="5" fillId="0" borderId="0" xfId="0" applyNumberFormat="1" applyFont="1" applyAlignment="1" applyProtection="1">
      <alignment horizontal="center"/>
      <protection locked="0"/>
    </xf>
    <xf numFmtId="168" fontId="3" fillId="0" borderId="0" xfId="0" applyNumberFormat="1" applyFont="1" applyFill="1" applyAlignment="1" applyProtection="1">
      <alignment horizontal="center"/>
      <protection locked="0"/>
    </xf>
    <xf numFmtId="164" fontId="11" fillId="0" borderId="0" xfId="0" applyFont="1" applyFill="1"/>
    <xf numFmtId="0" fontId="8" fillId="0" borderId="1" xfId="12" applyNumberFormat="1" applyFont="1" applyFill="1" applyBorder="1" applyAlignment="1">
      <alignment horizontal="right"/>
    </xf>
    <xf numFmtId="0" fontId="8" fillId="0" borderId="1" xfId="12" applyNumberFormat="1" applyFont="1" applyFill="1" applyBorder="1" applyAlignment="1"/>
    <xf numFmtId="0" fontId="8" fillId="0" borderId="0" xfId="12" applyNumberFormat="1" applyFont="1" applyFill="1" applyAlignment="1"/>
    <xf numFmtId="165" fontId="8" fillId="0" borderId="0" xfId="12" applyNumberFormat="1" applyFont="1" applyFill="1" applyAlignment="1"/>
    <xf numFmtId="0" fontId="8" fillId="0" borderId="0" xfId="12" applyNumberFormat="1" applyFont="1" applyFill="1" applyAlignment="1">
      <alignment horizontal="right"/>
    </xf>
    <xf numFmtId="166" fontId="8" fillId="0" borderId="0" xfId="9" applyNumberFormat="1" applyFont="1" applyFill="1"/>
    <xf numFmtId="0" fontId="9" fillId="0" borderId="0" xfId="12" applyNumberFormat="1" applyFont="1" applyFill="1" applyAlignment="1"/>
    <xf numFmtId="0" fontId="8" fillId="0" borderId="0" xfId="9" applyNumberFormat="1" applyFont="1" applyFill="1" applyAlignment="1"/>
    <xf numFmtId="0" fontId="8" fillId="0" borderId="0" xfId="0" applyNumberFormat="1" applyFont="1" applyFill="1" applyAlignment="1" applyProtection="1">
      <protection locked="0"/>
    </xf>
    <xf numFmtId="0" fontId="8" fillId="0" borderId="0" xfId="12" applyNumberFormat="1" applyFont="1" applyFill="1" applyAlignment="1">
      <alignment horizontal="center"/>
    </xf>
    <xf numFmtId="0" fontId="8" fillId="0" borderId="3" xfId="12" applyNumberFormat="1" applyFont="1" applyFill="1" applyBorder="1" applyAlignment="1">
      <alignment horizontal="center"/>
    </xf>
    <xf numFmtId="0" fontId="8" fillId="0" borderId="3" xfId="0" applyNumberFormat="1" applyFont="1" applyFill="1" applyBorder="1" applyAlignment="1" applyProtection="1">
      <protection locked="0"/>
    </xf>
    <xf numFmtId="3" fontId="14" fillId="0" borderId="1" xfId="8" applyNumberFormat="1" applyFont="1" applyFill="1" applyBorder="1" applyAlignment="1"/>
    <xf numFmtId="165" fontId="8" fillId="0" borderId="0" xfId="10" applyNumberFormat="1" applyFont="1" applyFill="1" applyAlignment="1"/>
    <xf numFmtId="0" fontId="5" fillId="0" borderId="0" xfId="0" applyNumberFormat="1" applyFont="1" applyAlignment="1" applyProtection="1">
      <alignment horizontal="center"/>
      <protection locked="0"/>
    </xf>
    <xf numFmtId="176" fontId="5" fillId="0" borderId="0" xfId="11" applyFont="1" applyAlignment="1">
      <alignment horizontal="center"/>
    </xf>
    <xf numFmtId="0" fontId="14" fillId="0" borderId="0" xfId="7" applyNumberFormat="1" applyFont="1" applyAlignment="1">
      <alignment horizontal="center"/>
    </xf>
    <xf numFmtId="0" fontId="25" fillId="0" borderId="0" xfId="12" applyFont="1" applyAlignment="1"/>
    <xf numFmtId="0" fontId="25" fillId="0" borderId="0" xfId="0" applyNumberFormat="1" applyFont="1" applyAlignment="1">
      <alignment horizontal="centerContinuous"/>
    </xf>
    <xf numFmtId="0" fontId="25" fillId="0" borderId="0" xfId="4" applyNumberFormat="1" applyFont="1" applyAlignment="1">
      <alignment horizontal="centerContinuous"/>
    </xf>
    <xf numFmtId="0" fontId="25" fillId="0" borderId="0" xfId="3" applyNumberFormat="1" applyFont="1" applyAlignment="1">
      <alignment horizontal="centerContinuous"/>
    </xf>
    <xf numFmtId="0" fontId="25" fillId="0" borderId="0" xfId="6" applyNumberFormat="1" applyFont="1" applyAlignment="1">
      <alignment horizontal="centerContinuous"/>
    </xf>
    <xf numFmtId="42" fontId="25" fillId="0" borderId="0" xfId="0" applyNumberFormat="1" applyFont="1" applyAlignment="1" applyProtection="1">
      <protection locked="0"/>
    </xf>
    <xf numFmtId="0" fontId="24" fillId="0" borderId="0" xfId="0" applyNumberFormat="1" applyFont="1" applyAlignment="1" applyProtection="1">
      <alignment horizontal="center"/>
      <protection locked="0"/>
    </xf>
    <xf numFmtId="0" fontId="24" fillId="0" borderId="0" xfId="0" applyNumberFormat="1" applyFont="1" applyAlignment="1" applyProtection="1">
      <protection locked="0"/>
    </xf>
    <xf numFmtId="44" fontId="24" fillId="0" borderId="0" xfId="2" applyFont="1" applyAlignment="1" applyProtection="1">
      <protection locked="0"/>
    </xf>
    <xf numFmtId="0" fontId="25" fillId="0" borderId="0" xfId="0" applyNumberFormat="1" applyFont="1" applyFill="1" applyAlignment="1" applyProtection="1">
      <protection locked="0"/>
    </xf>
    <xf numFmtId="174" fontId="25" fillId="0" borderId="0" xfId="0" applyNumberFormat="1" applyFont="1" applyAlignment="1" applyProtection="1">
      <protection locked="0"/>
    </xf>
    <xf numFmtId="37" fontId="25" fillId="0" borderId="0" xfId="0" applyNumberFormat="1" applyFont="1" applyFill="1" applyAlignment="1" applyProtection="1">
      <protection locked="0"/>
    </xf>
    <xf numFmtId="176" fontId="24" fillId="0" borderId="0" xfId="11" applyFont="1"/>
    <xf numFmtId="175" fontId="25" fillId="0" borderId="0" xfId="1" applyNumberFormat="1" applyFont="1" applyAlignment="1" applyProtection="1">
      <protection locked="0"/>
    </xf>
    <xf numFmtId="0" fontId="25" fillId="0" borderId="0" xfId="12" applyNumberFormat="1" applyFont="1" applyFill="1" applyAlignment="1"/>
    <xf numFmtId="3" fontId="25" fillId="0" borderId="0" xfId="0" applyNumberFormat="1" applyFont="1" applyFill="1" applyAlignment="1" applyProtection="1">
      <protection locked="0"/>
    </xf>
    <xf numFmtId="0" fontId="24" fillId="0" borderId="0" xfId="8" applyFont="1" applyAlignment="1"/>
    <xf numFmtId="0" fontId="24" fillId="0" borderId="0" xfId="7" applyFont="1" applyAlignment="1"/>
    <xf numFmtId="0" fontId="24" fillId="0" borderId="0" xfId="6" applyFont="1" applyAlignment="1"/>
    <xf numFmtId="37" fontId="24" fillId="0" borderId="0" xfId="6" applyNumberFormat="1" applyFont="1" applyAlignment="1"/>
    <xf numFmtId="3" fontId="24" fillId="0" borderId="0" xfId="6" applyNumberFormat="1" applyFont="1" applyAlignment="1"/>
    <xf numFmtId="164" fontId="24" fillId="0" borderId="0" xfId="6" applyNumberFormat="1" applyFont="1" applyAlignment="1"/>
    <xf numFmtId="37" fontId="25" fillId="0" borderId="0" xfId="0" applyNumberFormat="1" applyFont="1" applyAlignment="1"/>
    <xf numFmtId="41" fontId="5" fillId="0" borderId="0" xfId="19" applyFont="1" applyAlignment="1" applyProtection="1">
      <alignment horizontal="center"/>
      <protection locked="0"/>
    </xf>
    <xf numFmtId="189" fontId="5" fillId="0" borderId="0" xfId="19" applyNumberFormat="1" applyFont="1" applyAlignment="1" applyProtection="1">
      <alignment horizontal="center"/>
      <protection locked="0"/>
    </xf>
    <xf numFmtId="180" fontId="3" fillId="0" borderId="0" xfId="1" applyNumberFormat="1" applyFont="1" applyAlignment="1" applyProtection="1">
      <protection locked="0"/>
    </xf>
    <xf numFmtId="2" fontId="14" fillId="0" borderId="0" xfId="7" applyNumberFormat="1" applyFont="1" applyAlignment="1"/>
    <xf numFmtId="3" fontId="14" fillId="0" borderId="0" xfId="7" applyNumberFormat="1" applyFont="1" applyAlignment="1"/>
    <xf numFmtId="164" fontId="14" fillId="0" borderId="0" xfId="7" applyNumberFormat="1" applyFont="1" applyAlignment="1"/>
    <xf numFmtId="2" fontId="14" fillId="0" borderId="1" xfId="7" applyNumberFormat="1" applyFont="1" applyBorder="1" applyAlignment="1"/>
    <xf numFmtId="3" fontId="14" fillId="0" borderId="1" xfId="7" applyNumberFormat="1" applyFont="1" applyBorder="1" applyAlignment="1"/>
    <xf numFmtId="164" fontId="14" fillId="0" borderId="1" xfId="7" applyNumberFormat="1" applyFont="1" applyBorder="1" applyAlignment="1"/>
    <xf numFmtId="2" fontId="14" fillId="0" borderId="4" xfId="7" applyNumberFormat="1" applyFont="1" applyBorder="1" applyAlignment="1"/>
    <xf numFmtId="165" fontId="14" fillId="0" borderId="0" xfId="7" applyNumberFormat="1" applyFont="1" applyAlignment="1"/>
    <xf numFmtId="3" fontId="14" fillId="0" borderId="0" xfId="9" applyNumberFormat="1" applyFont="1" applyAlignment="1"/>
    <xf numFmtId="3" fontId="14" fillId="0" borderId="4" xfId="7" applyNumberFormat="1" applyFont="1" applyBorder="1" applyAlignment="1"/>
    <xf numFmtId="164" fontId="14" fillId="0" borderId="0" xfId="7" applyNumberFormat="1" applyFont="1" applyAlignment="1" applyProtection="1">
      <protection locked="0"/>
    </xf>
    <xf numFmtId="164" fontId="14" fillId="0" borderId="2" xfId="7" applyNumberFormat="1" applyFont="1" applyBorder="1" applyAlignment="1"/>
    <xf numFmtId="170" fontId="14" fillId="0" borderId="0" xfId="7" applyNumberFormat="1" applyFont="1" applyAlignment="1"/>
    <xf numFmtId="2" fontId="14" fillId="0" borderId="0" xfId="7" applyNumberFormat="1" applyFont="1" applyFill="1" applyAlignment="1"/>
    <xf numFmtId="37" fontId="14" fillId="0" borderId="1" xfId="7" applyNumberFormat="1" applyFont="1" applyBorder="1" applyAlignment="1"/>
    <xf numFmtId="0" fontId="14" fillId="0" borderId="0" xfId="7" applyNumberFormat="1" applyFont="1" applyFill="1" applyAlignment="1"/>
    <xf numFmtId="165" fontId="14" fillId="0" borderId="1" xfId="7" applyNumberFormat="1" applyFont="1" applyBorder="1" applyAlignment="1"/>
    <xf numFmtId="164" fontId="14" fillId="0" borderId="4" xfId="7" applyNumberFormat="1" applyFont="1" applyBorder="1" applyAlignment="1"/>
    <xf numFmtId="3" fontId="14" fillId="0" borderId="1" xfId="4" applyNumberFormat="1" applyFont="1" applyBorder="1" applyAlignment="1"/>
    <xf numFmtId="167" fontId="14" fillId="0" borderId="1" xfId="4" applyNumberFormat="1" applyFont="1" applyBorder="1" applyAlignment="1"/>
    <xf numFmtId="3" fontId="14" fillId="0" borderId="4" xfId="4" applyNumberFormat="1" applyFont="1" applyBorder="1" applyAlignment="1"/>
    <xf numFmtId="167" fontId="14" fillId="0" borderId="4" xfId="4" applyNumberFormat="1" applyFont="1" applyBorder="1" applyAlignment="1"/>
    <xf numFmtId="167" fontId="5" fillId="0" borderId="0" xfId="4" applyNumberFormat="1" applyFont="1"/>
    <xf numFmtId="164" fontId="5" fillId="0" borderId="0" xfId="4" applyNumberFormat="1" applyFont="1" applyAlignment="1"/>
    <xf numFmtId="164" fontId="5" fillId="0" borderId="0" xfId="4" applyNumberFormat="1" applyFont="1"/>
    <xf numFmtId="174" fontId="5" fillId="0" borderId="0" xfId="0" applyNumberFormat="1" applyFont="1" applyAlignment="1" applyProtection="1">
      <protection locked="0"/>
    </xf>
    <xf numFmtId="0" fontId="3" fillId="0" borderId="0" xfId="12" applyNumberFormat="1" applyFont="1" applyFill="1" applyAlignment="1"/>
    <xf numFmtId="3" fontId="3" fillId="0" borderId="0" xfId="12" applyNumberFormat="1" applyFont="1" applyFill="1" applyAlignment="1"/>
    <xf numFmtId="3" fontId="3" fillId="0" borderId="0" xfId="9" applyNumberFormat="1" applyFont="1" applyFill="1" applyAlignment="1"/>
    <xf numFmtId="3" fontId="3" fillId="0" borderId="1" xfId="12" applyNumberFormat="1" applyFont="1" applyFill="1" applyBorder="1" applyAlignment="1"/>
    <xf numFmtId="164" fontId="3" fillId="0" borderId="0" xfId="12" applyNumberFormat="1" applyFont="1" applyFill="1" applyAlignment="1"/>
    <xf numFmtId="3" fontId="3" fillId="0" borderId="4" xfId="12" applyNumberFormat="1" applyFont="1" applyFill="1" applyBorder="1" applyAlignment="1"/>
    <xf numFmtId="167" fontId="3" fillId="0" borderId="4" xfId="12" applyNumberFormat="1" applyFont="1" applyFill="1" applyBorder="1" applyAlignment="1"/>
    <xf numFmtId="37" fontId="3" fillId="0" borderId="0" xfId="0" applyNumberFormat="1" applyFont="1" applyFill="1" applyBorder="1"/>
    <xf numFmtId="5" fontId="3" fillId="0" borderId="0" xfId="0" applyNumberFormat="1" applyFont="1" applyAlignment="1" applyProtection="1">
      <protection locked="0"/>
    </xf>
    <xf numFmtId="0" fontId="3" fillId="0" borderId="3" xfId="0" applyNumberFormat="1" applyFont="1" applyBorder="1" applyAlignment="1" applyProtection="1">
      <alignment horizontal="center"/>
      <protection locked="0"/>
    </xf>
    <xf numFmtId="37" fontId="3" fillId="0" borderId="0" xfId="0" applyNumberFormat="1" applyFont="1" applyBorder="1"/>
    <xf numFmtId="42" fontId="3" fillId="0" borderId="0" xfId="0" applyNumberFormat="1" applyFont="1" applyBorder="1" applyAlignment="1" applyProtection="1">
      <protection locked="0"/>
    </xf>
    <xf numFmtId="0" fontId="3" fillId="0" borderId="3" xfId="0" applyNumberFormat="1" applyFont="1" applyBorder="1" applyAlignment="1" applyProtection="1">
      <alignment horizontal="center"/>
      <protection locked="0"/>
    </xf>
    <xf numFmtId="0" fontId="14" fillId="0" borderId="0" xfId="7" applyNumberFormat="1" applyFont="1" applyAlignment="1">
      <alignment horizontal="center"/>
    </xf>
    <xf numFmtId="164" fontId="5" fillId="0" borderId="0" xfId="0" applyFont="1" applyAlignment="1">
      <alignment horizontal="center"/>
    </xf>
    <xf numFmtId="37" fontId="3" fillId="0" borderId="0" xfId="0" applyNumberFormat="1" applyFont="1" applyAlignment="1">
      <alignment horizontal="center"/>
    </xf>
    <xf numFmtId="37" fontId="3" fillId="0" borderId="3" xfId="0" applyNumberFormat="1" applyFont="1" applyBorder="1" applyAlignment="1">
      <alignment horizontal="center"/>
    </xf>
    <xf numFmtId="37" fontId="3" fillId="0" borderId="3" xfId="0" applyNumberFormat="1" applyFont="1" applyBorder="1" applyAlignment="1" applyProtection="1">
      <alignment horizontal="center"/>
      <protection locked="0"/>
    </xf>
    <xf numFmtId="174" fontId="3" fillId="0" borderId="3" xfId="1" applyNumberFormat="1" applyFont="1" applyBorder="1"/>
    <xf numFmtId="170" fontId="2" fillId="0" borderId="0" xfId="0" applyNumberFormat="1" applyFont="1" applyAlignment="1" applyProtection="1">
      <alignment horizontal="left"/>
      <protection locked="0"/>
    </xf>
    <xf numFmtId="0" fontId="3" fillId="0" borderId="0" xfId="0" applyNumberFormat="1" applyFont="1" applyBorder="1" applyAlignment="1" applyProtection="1">
      <alignment horizontal="center"/>
      <protection locked="0"/>
    </xf>
    <xf numFmtId="172" fontId="3" fillId="0" borderId="0" xfId="0" applyNumberFormat="1" applyFont="1" applyAlignment="1" applyProtection="1">
      <alignment horizontal="right"/>
      <protection locked="0"/>
    </xf>
    <xf numFmtId="172" fontId="3" fillId="0" borderId="0" xfId="0" applyNumberFormat="1" applyFont="1" applyAlignment="1" applyProtection="1">
      <protection locked="0"/>
    </xf>
    <xf numFmtId="49" fontId="3"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49" fontId="3" fillId="0" borderId="0" xfId="0" applyNumberFormat="1" applyFont="1" applyFill="1" applyBorder="1" applyAlignment="1" applyProtection="1">
      <protection locked="0"/>
    </xf>
    <xf numFmtId="0" fontId="3" fillId="0" borderId="0" xfId="1" applyNumberFormat="1" applyFont="1" applyFill="1" applyBorder="1"/>
    <xf numFmtId="174" fontId="3" fillId="0" borderId="0" xfId="1" applyNumberFormat="1" applyFont="1" applyFill="1" applyBorder="1"/>
    <xf numFmtId="174" fontId="3" fillId="0" borderId="0" xfId="1" applyNumberFormat="1" applyFont="1" applyFill="1" applyBorder="1" applyAlignment="1" applyProtection="1">
      <protection locked="0"/>
    </xf>
    <xf numFmtId="37" fontId="3" fillId="0" borderId="0" xfId="0" applyNumberFormat="1" applyFont="1" applyFill="1" applyBorder="1" applyAlignment="1" applyProtection="1">
      <protection locked="0"/>
    </xf>
    <xf numFmtId="41" fontId="3" fillId="0" borderId="0" xfId="19" applyFont="1" applyFill="1" applyBorder="1" applyAlignment="1" applyProtection="1">
      <protection locked="0"/>
    </xf>
    <xf numFmtId="41" fontId="3" fillId="0" borderId="0" xfId="19" applyFont="1" applyFill="1" applyBorder="1" applyAlignment="1">
      <alignment horizontal="center"/>
    </xf>
    <xf numFmtId="164" fontId="3" fillId="0" borderId="0" xfId="0" applyFont="1" applyAlignment="1">
      <alignment horizontal="center"/>
    </xf>
    <xf numFmtId="175" fontId="3" fillId="0" borderId="3" xfId="0" applyNumberFormat="1" applyFont="1" applyBorder="1" applyAlignment="1">
      <alignment horizontal="centerContinuous"/>
    </xf>
    <xf numFmtId="168" fontId="3" fillId="0" borderId="3" xfId="0" applyNumberFormat="1" applyFont="1" applyBorder="1" applyAlignment="1">
      <alignment horizontal="center"/>
    </xf>
    <xf numFmtId="164" fontId="3" fillId="0" borderId="3" xfId="0" applyFont="1" applyBorder="1" applyAlignment="1">
      <alignment horizontal="center"/>
    </xf>
    <xf numFmtId="168" fontId="3" fillId="0" borderId="0" xfId="0" applyNumberFormat="1" applyFont="1" applyBorder="1" applyAlignment="1">
      <alignment horizontal="center"/>
    </xf>
    <xf numFmtId="168" fontId="3" fillId="0" borderId="0" xfId="0" applyNumberFormat="1" applyFont="1" applyBorder="1" applyAlignment="1" applyProtection="1">
      <alignment horizontal="center"/>
      <protection locked="0"/>
    </xf>
    <xf numFmtId="170" fontId="3" fillId="0" borderId="0" xfId="0" applyNumberFormat="1" applyFont="1" applyBorder="1" applyAlignment="1" applyProtection="1">
      <protection locked="0"/>
    </xf>
    <xf numFmtId="0" fontId="5" fillId="0" borderId="0" xfId="0" applyNumberFormat="1" applyFont="1" applyAlignment="1" applyProtection="1">
      <alignment horizontal="centerContinuous"/>
      <protection locked="0"/>
    </xf>
    <xf numFmtId="3" fontId="14" fillId="0" borderId="3" xfId="8" applyNumberFormat="1" applyFont="1" applyBorder="1" applyAlignment="1"/>
    <xf numFmtId="3" fontId="14" fillId="0" borderId="0" xfId="8" applyNumberFormat="1" applyFont="1" applyAlignment="1">
      <alignment horizontal="left"/>
    </xf>
    <xf numFmtId="0" fontId="14" fillId="0" borderId="0" xfId="8" applyNumberFormat="1" applyFont="1" applyAlignment="1">
      <alignment horizontal="centerContinuous"/>
    </xf>
    <xf numFmtId="164" fontId="14" fillId="0" borderId="0" xfId="8" applyNumberFormat="1" applyFont="1" applyAlignment="1"/>
    <xf numFmtId="164" fontId="14" fillId="0" borderId="0" xfId="8" applyNumberFormat="1" applyFont="1" applyAlignment="1">
      <alignment horizontal="center"/>
    </xf>
    <xf numFmtId="2" fontId="14" fillId="0" borderId="0" xfId="8" applyNumberFormat="1" applyFont="1" applyAlignment="1"/>
    <xf numFmtId="2" fontId="14" fillId="0" borderId="1" xfId="8" applyNumberFormat="1" applyFont="1" applyBorder="1" applyAlignment="1"/>
    <xf numFmtId="164" fontId="14" fillId="0" borderId="4" xfId="8" applyNumberFormat="1" applyFont="1" applyBorder="1" applyAlignment="1"/>
    <xf numFmtId="166" fontId="14" fillId="0" borderId="0" xfId="7" applyNumberFormat="1" applyFont="1" applyFill="1" applyAlignment="1"/>
    <xf numFmtId="170" fontId="14" fillId="0" borderId="4" xfId="7" applyNumberFormat="1" applyFont="1" applyBorder="1" applyAlignment="1"/>
    <xf numFmtId="0" fontId="5" fillId="0" borderId="0" xfId="0" applyNumberFormat="1" applyFont="1" applyAlignment="1" applyProtection="1">
      <alignment horizontal="center"/>
      <protection locked="0"/>
    </xf>
    <xf numFmtId="0" fontId="14" fillId="0" borderId="0" xfId="0" applyNumberFormat="1" applyFont="1" applyAlignment="1" applyProtection="1">
      <protection locked="0"/>
    </xf>
    <xf numFmtId="0" fontId="14" fillId="0" borderId="0" xfId="5" applyNumberFormat="1" applyFont="1" applyAlignment="1">
      <alignment horizontal="center"/>
    </xf>
    <xf numFmtId="0" fontId="14" fillId="0" borderId="0" xfId="0" applyNumberFormat="1" applyFont="1" applyAlignment="1">
      <alignment horizontal="center"/>
    </xf>
    <xf numFmtId="176" fontId="5" fillId="0" borderId="0" xfId="11" applyFont="1" applyAlignment="1">
      <alignment horizontal="center"/>
    </xf>
    <xf numFmtId="176" fontId="14" fillId="0" borderId="0" xfId="11" applyFont="1" applyAlignment="1">
      <alignment horizontal="center"/>
    </xf>
    <xf numFmtId="174" fontId="3" fillId="0" borderId="6" xfId="1" applyNumberFormat="1" applyFont="1" applyFill="1" applyBorder="1" applyAlignment="1" applyProtection="1">
      <protection locked="0"/>
    </xf>
    <xf numFmtId="174" fontId="3" fillId="0" borderId="3" xfId="1" applyNumberFormat="1" applyFont="1" applyBorder="1" applyAlignment="1" applyProtection="1">
      <protection locked="0"/>
    </xf>
    <xf numFmtId="173" fontId="3" fillId="0" borderId="0" xfId="13" applyNumberFormat="1" applyFont="1" applyAlignment="1" applyProtection="1">
      <protection locked="0"/>
    </xf>
    <xf numFmtId="0" fontId="11" fillId="0" borderId="0" xfId="0" applyNumberFormat="1" applyFont="1" applyFill="1" applyAlignment="1" applyProtection="1">
      <protection locked="0"/>
    </xf>
    <xf numFmtId="41" fontId="3"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protection locked="0"/>
    </xf>
    <xf numFmtId="174" fontId="3" fillId="0" borderId="0" xfId="1" applyNumberFormat="1" applyFont="1" applyFill="1"/>
    <xf numFmtId="0" fontId="3" fillId="0" borderId="0" xfId="0" applyNumberFormat="1" applyFont="1" applyFill="1" applyBorder="1" applyAlignment="1" applyProtection="1">
      <protection locked="0"/>
    </xf>
    <xf numFmtId="5" fontId="3" fillId="0" borderId="0" xfId="0" applyNumberFormat="1" applyFont="1" applyFill="1" applyBorder="1" applyAlignment="1" applyProtection="1">
      <protection locked="0"/>
    </xf>
    <xf numFmtId="174" fontId="3" fillId="0" borderId="3" xfId="1" applyNumberFormat="1" applyFont="1" applyFill="1" applyBorder="1"/>
    <xf numFmtId="37" fontId="14" fillId="0" borderId="0" xfId="6" applyNumberFormat="1" applyFont="1" applyAlignment="1"/>
    <xf numFmtId="2" fontId="14" fillId="0" borderId="0" xfId="6" applyNumberFormat="1" applyFont="1" applyFill="1" applyAlignment="1"/>
    <xf numFmtId="164" fontId="14" fillId="0" borderId="0" xfId="6" applyNumberFormat="1" applyFont="1" applyAlignment="1"/>
    <xf numFmtId="37" fontId="14" fillId="0" borderId="1" xfId="6" applyNumberFormat="1" applyFont="1" applyBorder="1" applyAlignment="1"/>
    <xf numFmtId="164" fontId="14" fillId="0" borderId="1" xfId="6" applyNumberFormat="1" applyFont="1" applyBorder="1" applyAlignment="1"/>
    <xf numFmtId="37" fontId="14" fillId="0" borderId="4" xfId="6" applyNumberFormat="1" applyFont="1" applyBorder="1" applyAlignment="1"/>
    <xf numFmtId="2" fontId="14" fillId="0" borderId="1" xfId="6" applyNumberFormat="1" applyFont="1" applyBorder="1" applyAlignment="1"/>
    <xf numFmtId="2" fontId="14" fillId="0" borderId="4" xfId="6" applyNumberFormat="1" applyFont="1" applyBorder="1" applyAlignment="1"/>
    <xf numFmtId="170" fontId="14" fillId="0" borderId="0" xfId="0" applyNumberFormat="1" applyFont="1" applyAlignment="1"/>
    <xf numFmtId="37" fontId="14" fillId="0" borderId="1" xfId="0" applyNumberFormat="1" applyFont="1" applyBorder="1" applyAlignment="1"/>
    <xf numFmtId="164" fontId="14" fillId="0" borderId="1" xfId="0" applyFont="1" applyBorder="1" applyAlignment="1"/>
    <xf numFmtId="170" fontId="14" fillId="0" borderId="0" xfId="3" applyNumberFormat="1" applyFont="1" applyAlignment="1"/>
    <xf numFmtId="164" fontId="14" fillId="0" borderId="0" xfId="3" applyNumberFormat="1" applyFont="1" applyAlignment="1" applyProtection="1">
      <protection locked="0"/>
    </xf>
    <xf numFmtId="170" fontId="14" fillId="0" borderId="1" xfId="3" applyNumberFormat="1" applyFont="1" applyBorder="1" applyAlignment="1"/>
    <xf numFmtId="164" fontId="14" fillId="0" borderId="1" xfId="3" applyNumberFormat="1" applyFont="1" applyBorder="1" applyAlignment="1"/>
    <xf numFmtId="170" fontId="14" fillId="0" borderId="4" xfId="3" applyNumberFormat="1" applyFont="1" applyBorder="1" applyAlignment="1"/>
    <xf numFmtId="167" fontId="14" fillId="0" borderId="0" xfId="4" applyNumberFormat="1" applyFont="1" applyAlignment="1" applyProtection="1">
      <protection locked="0"/>
    </xf>
    <xf numFmtId="164" fontId="14" fillId="0" borderId="1" xfId="5" applyNumberFormat="1" applyFont="1" applyBorder="1" applyAlignment="1"/>
    <xf numFmtId="3" fontId="14" fillId="0" borderId="1" xfId="5" applyNumberFormat="1" applyFont="1" applyBorder="1" applyAlignment="1"/>
    <xf numFmtId="165" fontId="14" fillId="0" borderId="1" xfId="5" applyNumberFormat="1" applyFont="1" applyBorder="1" applyAlignment="1"/>
    <xf numFmtId="0" fontId="5" fillId="0" borderId="0" xfId="5" applyFont="1" applyAlignment="1"/>
    <xf numFmtId="0" fontId="3" fillId="0" borderId="0" xfId="10" applyNumberFormat="1" applyFont="1" applyAlignment="1">
      <alignment horizontal="centerContinuous"/>
    </xf>
    <xf numFmtId="37" fontId="3" fillId="0" borderId="0" xfId="12" applyNumberFormat="1" applyFont="1" applyFill="1" applyBorder="1" applyAlignment="1"/>
    <xf numFmtId="3" fontId="3" fillId="0" borderId="0" xfId="12" applyNumberFormat="1" applyFont="1" applyFill="1" applyBorder="1" applyAlignment="1"/>
    <xf numFmtId="37" fontId="3" fillId="0" borderId="3" xfId="12" applyNumberFormat="1" applyFont="1" applyFill="1" applyBorder="1" applyAlignment="1"/>
    <xf numFmtId="3" fontId="3" fillId="0" borderId="3" xfId="12" applyNumberFormat="1" applyFont="1" applyFill="1" applyBorder="1" applyAlignment="1"/>
    <xf numFmtId="174" fontId="3" fillId="0" borderId="4" xfId="1" applyNumberFormat="1" applyFont="1" applyFill="1" applyBorder="1" applyAlignment="1"/>
    <xf numFmtId="164" fontId="3" fillId="0" borderId="4" xfId="12" applyNumberFormat="1" applyFont="1" applyFill="1" applyBorder="1" applyAlignment="1"/>
    <xf numFmtId="177" fontId="5" fillId="0" borderId="0" xfId="2" applyNumberFormat="1" applyFont="1" applyAlignment="1"/>
    <xf numFmtId="173" fontId="5" fillId="0" borderId="0" xfId="13" applyNumberFormat="1" applyFont="1" applyAlignment="1"/>
    <xf numFmtId="41" fontId="5" fillId="0" borderId="0" xfId="11" applyNumberFormat="1" applyFont="1" applyAlignment="1"/>
    <xf numFmtId="41" fontId="5" fillId="0" borderId="3" xfId="11" applyNumberFormat="1" applyFont="1" applyBorder="1" applyAlignment="1"/>
    <xf numFmtId="173" fontId="5" fillId="0" borderId="3" xfId="13" applyNumberFormat="1" applyFont="1" applyBorder="1" applyAlignment="1"/>
    <xf numFmtId="173" fontId="5" fillId="0" borderId="4" xfId="13" applyNumberFormat="1" applyFont="1" applyBorder="1" applyAlignment="1"/>
    <xf numFmtId="176" fontId="5" fillId="0" borderId="0" xfId="11" applyFont="1"/>
    <xf numFmtId="42" fontId="5" fillId="0" borderId="4" xfId="11" applyNumberFormat="1" applyFont="1" applyBorder="1" applyAlignment="1"/>
    <xf numFmtId="41" fontId="5" fillId="0" borderId="0" xfId="11" quotePrefix="1" applyNumberFormat="1" applyFont="1" applyAlignment="1">
      <alignment horizontal="center"/>
    </xf>
    <xf numFmtId="176" fontId="5" fillId="0" borderId="0" xfId="11" quotePrefix="1" applyFont="1" applyAlignment="1"/>
    <xf numFmtId="174" fontId="5" fillId="0" borderId="0" xfId="1" applyNumberFormat="1" applyFont="1" applyAlignment="1"/>
    <xf numFmtId="176" fontId="5" fillId="0" borderId="0" xfId="11" quotePrefix="1" applyFont="1" applyFill="1" applyAlignment="1"/>
    <xf numFmtId="174" fontId="5" fillId="0" borderId="3" xfId="1" applyNumberFormat="1" applyFont="1" applyBorder="1" applyAlignment="1"/>
    <xf numFmtId="5" fontId="5" fillId="0" borderId="0" xfId="11" applyNumberFormat="1" applyFont="1" applyAlignment="1"/>
    <xf numFmtId="177" fontId="3" fillId="0" borderId="0" xfId="0" applyNumberFormat="1" applyFont="1" applyAlignment="1" applyProtection="1">
      <protection locked="0"/>
    </xf>
    <xf numFmtId="176" fontId="3" fillId="0" borderId="0" xfId="11" applyFont="1" applyAlignment="1"/>
    <xf numFmtId="176" fontId="3" fillId="0" borderId="0" xfId="11" applyFont="1"/>
    <xf numFmtId="176" fontId="14" fillId="0" borderId="0" xfId="11" applyFont="1" applyAlignment="1"/>
    <xf numFmtId="176" fontId="14" fillId="0" borderId="3" xfId="11" applyFont="1" applyBorder="1" applyAlignment="1">
      <alignment horizontal="center"/>
    </xf>
    <xf numFmtId="41" fontId="14" fillId="0" borderId="0" xfId="11" quotePrefix="1" applyNumberFormat="1" applyFont="1" applyAlignment="1">
      <alignment horizontal="center"/>
    </xf>
    <xf numFmtId="41" fontId="14" fillId="0" borderId="0" xfId="11" applyNumberFormat="1" applyFont="1" applyAlignment="1"/>
    <xf numFmtId="177" fontId="14" fillId="0" borderId="0" xfId="2" applyNumberFormat="1" applyFont="1" applyAlignment="1"/>
    <xf numFmtId="176" fontId="14" fillId="0" borderId="0" xfId="11" quotePrefix="1" applyFont="1" applyAlignment="1"/>
    <xf numFmtId="43" fontId="14" fillId="0" borderId="0" xfId="1" applyFont="1" applyAlignment="1"/>
    <xf numFmtId="44" fontId="14" fillId="0" borderId="0" xfId="2" applyFont="1" applyAlignment="1"/>
    <xf numFmtId="43" fontId="14" fillId="0" borderId="0" xfId="1" applyNumberFormat="1" applyFont="1" applyAlignment="1"/>
    <xf numFmtId="41" fontId="14" fillId="0" borderId="0" xfId="11" applyNumberFormat="1" applyFont="1" applyBorder="1" applyAlignment="1"/>
    <xf numFmtId="43" fontId="14" fillId="0" borderId="0" xfId="1" applyNumberFormat="1" applyFont="1" applyBorder="1" applyAlignment="1"/>
    <xf numFmtId="41" fontId="14" fillId="0" borderId="3" xfId="11" applyNumberFormat="1" applyFont="1" applyBorder="1"/>
    <xf numFmtId="42" fontId="14" fillId="0" borderId="4" xfId="11" applyNumberFormat="1" applyFont="1" applyBorder="1" applyAlignment="1"/>
    <xf numFmtId="179" fontId="14" fillId="0" borderId="4" xfId="11" applyNumberFormat="1" applyFont="1" applyBorder="1" applyAlignment="1"/>
    <xf numFmtId="43" fontId="5" fillId="0" borderId="0" xfId="0" applyNumberFormat="1" applyFont="1" applyAlignment="1" applyProtection="1">
      <protection locked="0"/>
    </xf>
    <xf numFmtId="174" fontId="5" fillId="0" borderId="0" xfId="1" applyNumberFormat="1" applyFont="1" applyBorder="1" applyAlignment="1" applyProtection="1">
      <alignment horizontal="center"/>
      <protection locked="0"/>
    </xf>
    <xf numFmtId="44" fontId="5" fillId="0" borderId="0" xfId="2" applyFont="1" applyBorder="1" applyAlignment="1" applyProtection="1">
      <protection locked="0"/>
    </xf>
    <xf numFmtId="183" fontId="5" fillId="0" borderId="0" xfId="2" applyNumberFormat="1" applyFont="1" applyBorder="1" applyAlignment="1" applyProtection="1">
      <alignment horizontal="center"/>
      <protection locked="0"/>
    </xf>
    <xf numFmtId="0" fontId="15" fillId="0" borderId="0" xfId="0" applyNumberFormat="1" applyFont="1" applyAlignment="1" applyProtection="1">
      <alignment horizontal="center"/>
      <protection locked="0"/>
    </xf>
    <xf numFmtId="44" fontId="5" fillId="0" borderId="0" xfId="0" applyNumberFormat="1" applyFont="1" applyAlignment="1" applyProtection="1">
      <protection locked="0"/>
    </xf>
    <xf numFmtId="184" fontId="24" fillId="0" borderId="0" xfId="2" applyNumberFormat="1" applyFont="1" applyAlignment="1" applyProtection="1">
      <protection locked="0"/>
    </xf>
    <xf numFmtId="185" fontId="5" fillId="0" borderId="0" xfId="2" applyNumberFormat="1" applyFont="1" applyAlignment="1" applyProtection="1">
      <protection locked="0"/>
    </xf>
    <xf numFmtId="183" fontId="5" fillId="0" borderId="0" xfId="0" applyNumberFormat="1" applyFont="1" applyAlignment="1" applyProtection="1">
      <protection locked="0"/>
    </xf>
    <xf numFmtId="0" fontId="5" fillId="0" borderId="0" xfId="0" applyNumberFormat="1" applyFont="1" applyAlignment="1" applyProtection="1">
      <alignment horizontal="left"/>
      <protection locked="0"/>
    </xf>
    <xf numFmtId="0" fontId="15" fillId="0" borderId="0" xfId="0" applyNumberFormat="1" applyFont="1" applyBorder="1" applyAlignment="1" applyProtection="1">
      <alignment horizontal="center"/>
      <protection locked="0"/>
    </xf>
    <xf numFmtId="183" fontId="5" fillId="0" borderId="0" xfId="2" applyNumberFormat="1" applyFont="1" applyBorder="1" applyAlignment="1" applyProtection="1">
      <protection locked="0"/>
    </xf>
    <xf numFmtId="0" fontId="15" fillId="0" borderId="0" xfId="0" applyNumberFormat="1" applyFont="1" applyAlignment="1" applyProtection="1">
      <alignment horizontal="left"/>
      <protection locked="0"/>
    </xf>
    <xf numFmtId="181" fontId="5" fillId="0" borderId="0" xfId="0" applyNumberFormat="1" applyFont="1" applyAlignment="1" applyProtection="1">
      <protection locked="0"/>
    </xf>
    <xf numFmtId="183" fontId="5" fillId="0" borderId="0" xfId="1" applyNumberFormat="1" applyFont="1" applyBorder="1" applyAlignment="1" applyProtection="1">
      <protection locked="0"/>
    </xf>
    <xf numFmtId="176" fontId="5" fillId="0" borderId="0" xfId="11" applyFont="1" applyAlignment="1">
      <alignment horizontal="left"/>
    </xf>
    <xf numFmtId="180" fontId="3" fillId="0" borderId="0" xfId="0" applyNumberFormat="1" applyFont="1" applyAlignment="1" applyProtection="1">
      <protection locked="0"/>
    </xf>
    <xf numFmtId="181" fontId="24" fillId="0" borderId="0" xfId="2" applyNumberFormat="1" applyFont="1" applyAlignment="1" applyProtection="1">
      <protection locked="0"/>
    </xf>
    <xf numFmtId="170" fontId="5" fillId="0" borderId="0" xfId="0" applyNumberFormat="1" applyFont="1" applyAlignment="1" applyProtection="1">
      <protection locked="0"/>
    </xf>
    <xf numFmtId="43" fontId="14" fillId="0" borderId="0" xfId="1" applyFont="1" applyBorder="1" applyAlignment="1"/>
    <xf numFmtId="174" fontId="3" fillId="0" borderId="0" xfId="1" applyNumberFormat="1" applyFont="1" applyAlignment="1">
      <alignment horizontal="centerContinuous"/>
    </xf>
    <xf numFmtId="174" fontId="14" fillId="0" borderId="0" xfId="1" applyNumberFormat="1" applyFont="1" applyAlignment="1">
      <alignment horizontal="centerContinuous"/>
    </xf>
    <xf numFmtId="174" fontId="14" fillId="0" borderId="0" xfId="1" applyNumberFormat="1" applyFont="1" applyAlignment="1"/>
    <xf numFmtId="174" fontId="14" fillId="0" borderId="0" xfId="1" applyNumberFormat="1" applyFont="1" applyAlignment="1">
      <alignment horizontal="center"/>
    </xf>
    <xf numFmtId="174" fontId="14" fillId="0" borderId="1" xfId="1" applyNumberFormat="1" applyFont="1" applyBorder="1" applyAlignment="1">
      <alignment horizontal="center"/>
    </xf>
    <xf numFmtId="174" fontId="14" fillId="0" borderId="1" xfId="1" applyNumberFormat="1" applyFont="1" applyBorder="1" applyAlignment="1"/>
    <xf numFmtId="174" fontId="14" fillId="0" borderId="4" xfId="1" applyNumberFormat="1" applyFont="1" applyBorder="1" applyAlignment="1"/>
    <xf numFmtId="174" fontId="3" fillId="0" borderId="0" xfId="1" applyNumberFormat="1" applyFont="1" applyBorder="1" applyAlignment="1"/>
    <xf numFmtId="174" fontId="14" fillId="0" borderId="0" xfId="1" applyNumberFormat="1" applyFont="1" applyBorder="1" applyAlignment="1"/>
    <xf numFmtId="174" fontId="14" fillId="0" borderId="0" xfId="1" applyNumberFormat="1" applyFont="1" applyAlignment="1" applyProtection="1">
      <protection locked="0"/>
    </xf>
    <xf numFmtId="174" fontId="3" fillId="0" borderId="4" xfId="1" applyNumberFormat="1" applyFont="1" applyFill="1" applyBorder="1"/>
    <xf numFmtId="174" fontId="3" fillId="0" borderId="4" xfId="1" applyNumberFormat="1" applyFont="1" applyFill="1" applyBorder="1" applyAlignment="1" applyProtection="1">
      <protection locked="0"/>
    </xf>
    <xf numFmtId="174" fontId="8" fillId="0" borderId="0" xfId="1" applyNumberFormat="1" applyFont="1" applyBorder="1"/>
    <xf numFmtId="174" fontId="3" fillId="0" borderId="6" xfId="1" applyNumberFormat="1" applyFont="1" applyFill="1" applyBorder="1"/>
    <xf numFmtId="174" fontId="3" fillId="0" borderId="6" xfId="1" applyNumberFormat="1" applyFont="1" applyBorder="1"/>
    <xf numFmtId="177" fontId="3" fillId="0" borderId="0" xfId="2" applyNumberFormat="1" applyFont="1"/>
    <xf numFmtId="177" fontId="3" fillId="0" borderId="0" xfId="2" applyNumberFormat="1" applyFont="1" applyAlignment="1" applyProtection="1">
      <protection locked="0"/>
    </xf>
    <xf numFmtId="177" fontId="3" fillId="0" borderId="0" xfId="2" applyNumberFormat="1" applyFont="1" applyFill="1"/>
    <xf numFmtId="177" fontId="3" fillId="0" borderId="3" xfId="2" applyNumberFormat="1" applyFont="1" applyFill="1" applyBorder="1"/>
    <xf numFmtId="177" fontId="3" fillId="0" borderId="0" xfId="2" applyNumberFormat="1" applyFont="1" applyFill="1" applyBorder="1"/>
    <xf numFmtId="177" fontId="3" fillId="0" borderId="0" xfId="2" applyNumberFormat="1" applyFont="1" applyBorder="1"/>
    <xf numFmtId="177" fontId="3" fillId="0" borderId="4" xfId="2" applyNumberFormat="1" applyFont="1" applyFill="1" applyBorder="1"/>
    <xf numFmtId="41" fontId="14" fillId="0" borderId="0" xfId="11" applyNumberFormat="1" applyFont="1" applyBorder="1"/>
    <xf numFmtId="176" fontId="14" fillId="0" borderId="0" xfId="11" applyFont="1" applyBorder="1" applyAlignment="1"/>
    <xf numFmtId="43" fontId="14" fillId="0" borderId="3" xfId="1" applyNumberFormat="1" applyFont="1" applyBorder="1" applyAlignment="1"/>
    <xf numFmtId="178" fontId="25" fillId="0" borderId="0" xfId="1" applyNumberFormat="1" applyFont="1" applyAlignment="1" applyProtection="1">
      <protection locked="0"/>
    </xf>
    <xf numFmtId="43" fontId="25" fillId="0" borderId="0" xfId="1" applyNumberFormat="1" applyFont="1" applyAlignment="1" applyProtection="1">
      <protection locked="0"/>
    </xf>
    <xf numFmtId="43" fontId="25" fillId="0" borderId="0" xfId="0" applyNumberFormat="1" applyFont="1" applyAlignment="1" applyProtection="1">
      <protection locked="0"/>
    </xf>
    <xf numFmtId="43" fontId="19" fillId="0" borderId="0" xfId="0" applyNumberFormat="1" applyFont="1" applyBorder="1" applyAlignment="1" applyProtection="1">
      <alignment horizontal="center"/>
      <protection locked="0"/>
    </xf>
    <xf numFmtId="191" fontId="3" fillId="0" borderId="0" xfId="0" applyNumberFormat="1" applyFont="1" applyAlignment="1" applyProtection="1">
      <protection locked="0"/>
    </xf>
    <xf numFmtId="7" fontId="5" fillId="0" borderId="0" xfId="2" applyNumberFormat="1" applyFont="1" applyAlignment="1" applyProtection="1">
      <protection locked="0"/>
    </xf>
    <xf numFmtId="0" fontId="8" fillId="0" borderId="0" xfId="10" applyNumberFormat="1" applyFont="1" applyFill="1" applyAlignment="1">
      <alignment horizontal="center"/>
    </xf>
    <xf numFmtId="37" fontId="3" fillId="0" borderId="1" xfId="10" applyNumberFormat="1" applyFont="1" applyFill="1" applyBorder="1" applyAlignment="1">
      <alignment horizontal="center"/>
    </xf>
    <xf numFmtId="37" fontId="8" fillId="0" borderId="0" xfId="10" applyNumberFormat="1" applyFont="1" applyFill="1" applyAlignment="1">
      <alignment horizontal="center"/>
    </xf>
    <xf numFmtId="37" fontId="8" fillId="0" borderId="1" xfId="10" applyNumberFormat="1" applyFont="1" applyFill="1" applyBorder="1" applyAlignment="1">
      <alignment horizontal="center"/>
    </xf>
    <xf numFmtId="0" fontId="3" fillId="0" borderId="0" xfId="10" applyNumberFormat="1" applyFont="1" applyFill="1" applyAlignment="1"/>
    <xf numFmtId="0" fontId="8" fillId="0" borderId="0" xfId="10" applyNumberFormat="1" applyFont="1" applyFill="1" applyAlignment="1"/>
    <xf numFmtId="3" fontId="3" fillId="0" borderId="0" xfId="10" applyNumberFormat="1" applyFont="1" applyFill="1" applyAlignment="1"/>
    <xf numFmtId="3" fontId="8" fillId="0" borderId="0" xfId="10" applyNumberFormat="1" applyFont="1" applyFill="1" applyAlignment="1"/>
    <xf numFmtId="0" fontId="5" fillId="0" borderId="0" xfId="0" applyNumberFormat="1" applyFont="1" applyAlignment="1" applyProtection="1">
      <alignment horizontal="center"/>
      <protection locked="0"/>
    </xf>
    <xf numFmtId="44" fontId="5" fillId="0" borderId="0" xfId="2" applyFont="1" applyBorder="1" applyAlignment="1" applyProtection="1">
      <alignment horizontal="center"/>
      <protection locked="0"/>
    </xf>
    <xf numFmtId="174" fontId="5" fillId="0" borderId="0" xfId="1" applyNumberFormat="1" applyFont="1" applyFill="1" applyBorder="1" applyAlignment="1" applyProtection="1">
      <protection locked="0"/>
    </xf>
    <xf numFmtId="174" fontId="3" fillId="0" borderId="0" xfId="1" applyNumberFormat="1" applyFont="1" applyFill="1" applyBorder="1" applyAlignment="1" applyProtection="1">
      <alignment horizontal="center"/>
      <protection locked="0"/>
    </xf>
    <xf numFmtId="39" fontId="3" fillId="0" borderId="0" xfId="0" applyNumberFormat="1" applyFont="1" applyFill="1" applyBorder="1"/>
    <xf numFmtId="43" fontId="3" fillId="0" borderId="0" xfId="1" applyNumberFormat="1" applyFont="1" applyFill="1" applyBorder="1" applyAlignment="1" applyProtection="1">
      <protection locked="0"/>
    </xf>
    <xf numFmtId="0" fontId="5" fillId="0" borderId="0" xfId="0" applyNumberFormat="1" applyFont="1" applyFill="1" applyBorder="1" applyAlignment="1" applyProtection="1">
      <protection locked="0"/>
    </xf>
    <xf numFmtId="168" fontId="3" fillId="0" borderId="0" xfId="0" applyNumberFormat="1" applyFont="1" applyFill="1" applyBorder="1" applyAlignment="1" applyProtection="1">
      <alignment horizontal="center"/>
      <protection locked="0"/>
    </xf>
    <xf numFmtId="1" fontId="3" fillId="0" borderId="0" xfId="0" applyNumberFormat="1" applyFont="1" applyFill="1" applyBorder="1" applyAlignment="1" applyProtection="1">
      <protection locked="0"/>
    </xf>
    <xf numFmtId="3" fontId="3" fillId="0" borderId="0" xfId="0" applyNumberFormat="1" applyFont="1" applyFill="1" applyBorder="1" applyAlignment="1" applyProtection="1">
      <protection locked="0"/>
    </xf>
    <xf numFmtId="43" fontId="3" fillId="0" borderId="0" xfId="1" applyFont="1" applyFill="1" applyBorder="1" applyAlignment="1" applyProtection="1">
      <protection locked="0"/>
    </xf>
    <xf numFmtId="43" fontId="3" fillId="0" borderId="0" xfId="0" applyNumberFormat="1" applyFont="1" applyFill="1" applyBorder="1" applyAlignment="1" applyProtection="1">
      <protection locked="0"/>
    </xf>
    <xf numFmtId="174" fontId="3" fillId="0" borderId="0" xfId="1" applyNumberFormat="1" applyFont="1" applyFill="1" applyBorder="1" applyAlignment="1">
      <alignment horizontal="center"/>
    </xf>
    <xf numFmtId="10" fontId="3" fillId="0" borderId="0" xfId="13" applyNumberFormat="1" applyFont="1" applyFill="1" applyBorder="1" applyAlignment="1" applyProtection="1">
      <protection locked="0"/>
    </xf>
    <xf numFmtId="43" fontId="3" fillId="0" borderId="0" xfId="1" applyFont="1" applyFill="1" applyBorder="1"/>
    <xf numFmtId="41" fontId="3" fillId="0" borderId="0" xfId="0" applyNumberFormat="1" applyFont="1" applyFill="1" applyBorder="1" applyAlignment="1">
      <alignment horizontal="center"/>
    </xf>
    <xf numFmtId="180" fontId="3" fillId="0" borderId="0" xfId="1" applyNumberFormat="1" applyFont="1" applyFill="1" applyBorder="1" applyAlignment="1">
      <alignment horizontal="center"/>
    </xf>
    <xf numFmtId="49" fontId="8" fillId="0" borderId="0" xfId="0" applyNumberFormat="1" applyFont="1" applyFill="1" applyBorder="1" applyAlignment="1">
      <alignment horizontal="center"/>
    </xf>
    <xf numFmtId="1" fontId="25" fillId="0" borderId="0" xfId="0" applyNumberFormat="1" applyFont="1" applyFill="1" applyBorder="1" applyAlignment="1">
      <alignment horizontal="center"/>
    </xf>
    <xf numFmtId="174" fontId="25" fillId="0" borderId="0" xfId="1" applyNumberFormat="1" applyFont="1" applyFill="1" applyBorder="1" applyAlignment="1" applyProtection="1">
      <protection locked="0"/>
    </xf>
    <xf numFmtId="0" fontId="8" fillId="0" borderId="0" xfId="0" applyNumberFormat="1" applyFont="1" applyFill="1" applyBorder="1" applyAlignment="1" applyProtection="1">
      <protection locked="0"/>
    </xf>
    <xf numFmtId="0" fontId="25" fillId="0" borderId="0" xfId="0" applyNumberFormat="1" applyFont="1" applyFill="1" applyBorder="1" applyAlignment="1" applyProtection="1">
      <protection locked="0"/>
    </xf>
    <xf numFmtId="0" fontId="3" fillId="0" borderId="3" xfId="10" applyNumberFormat="1" applyFont="1" applyBorder="1" applyAlignment="1">
      <alignment horizontal="center"/>
    </xf>
    <xf numFmtId="0" fontId="8" fillId="0" borderId="0" xfId="10" applyNumberFormat="1" applyFont="1" applyBorder="1" applyAlignment="1"/>
    <xf numFmtId="0" fontId="8" fillId="0" borderId="0" xfId="10" applyNumberFormat="1" applyFont="1" applyBorder="1" applyAlignment="1">
      <alignment horizontal="right"/>
    </xf>
    <xf numFmtId="165" fontId="8" fillId="0" borderId="0" xfId="10" applyNumberFormat="1" applyFont="1" applyBorder="1" applyAlignment="1"/>
    <xf numFmtId="176" fontId="10" fillId="0" borderId="3" xfId="11" applyFont="1" applyBorder="1" applyAlignment="1">
      <alignment horizontal="center"/>
    </xf>
    <xf numFmtId="176" fontId="5" fillId="0" borderId="3" xfId="11" applyFont="1" applyBorder="1" applyAlignment="1">
      <alignment horizontal="center"/>
    </xf>
    <xf numFmtId="176" fontId="10" fillId="0" borderId="0" xfId="11" applyFont="1" applyAlignment="1">
      <alignment horizontal="center"/>
    </xf>
    <xf numFmtId="176" fontId="5" fillId="0" borderId="0" xfId="11" applyFont="1" applyAlignment="1">
      <alignment horizontal="center"/>
    </xf>
    <xf numFmtId="175" fontId="3" fillId="0" borderId="6" xfId="0" quotePrefix="1" applyNumberFormat="1" applyFont="1" applyBorder="1" applyAlignment="1">
      <alignment horizontal="center"/>
    </xf>
    <xf numFmtId="175" fontId="3" fillId="0" borderId="6" xfId="0" applyNumberFormat="1" applyFont="1" applyBorder="1" applyAlignment="1">
      <alignment horizontal="center"/>
    </xf>
    <xf numFmtId="0" fontId="8" fillId="0" borderId="0" xfId="0" applyNumberFormat="1" applyFont="1" applyAlignment="1" applyProtection="1">
      <alignment horizontal="center"/>
      <protection locked="0"/>
    </xf>
    <xf numFmtId="0" fontId="3" fillId="0" borderId="3" xfId="0" applyNumberFormat="1" applyFont="1" applyBorder="1" applyAlignment="1" applyProtection="1">
      <alignment horizontal="center"/>
      <protection locked="0"/>
    </xf>
    <xf numFmtId="0" fontId="10" fillId="0" borderId="0" xfId="0" applyNumberFormat="1" applyFont="1" applyAlignment="1" applyProtection="1">
      <alignment horizontal="center"/>
      <protection locked="0"/>
    </xf>
    <xf numFmtId="0" fontId="5" fillId="0" borderId="0" xfId="0" applyNumberFormat="1" applyFont="1" applyAlignment="1" applyProtection="1">
      <alignment horizontal="center"/>
      <protection locked="0"/>
    </xf>
    <xf numFmtId="0" fontId="14" fillId="0" borderId="0" xfId="0" applyNumberFormat="1" applyFont="1" applyAlignment="1">
      <alignment horizontal="justify" vertical="top" wrapText="1"/>
    </xf>
    <xf numFmtId="0" fontId="14" fillId="0" borderId="0" xfId="0" applyNumberFormat="1" applyFont="1" applyAlignment="1">
      <alignment horizontal="justify" wrapText="1"/>
    </xf>
    <xf numFmtId="0" fontId="14" fillId="0" borderId="0" xfId="6" applyNumberFormat="1" applyFont="1" applyAlignment="1">
      <alignment horizontal="justify" vertical="top" wrapText="1"/>
    </xf>
    <xf numFmtId="0" fontId="3" fillId="0" borderId="0" xfId="0" applyNumberFormat="1" applyFont="1" applyAlignment="1">
      <alignment horizontal="justify" vertical="top" wrapText="1"/>
    </xf>
    <xf numFmtId="0" fontId="3" fillId="0" borderId="0" xfId="0" applyNumberFormat="1" applyFont="1" applyAlignment="1">
      <alignment horizontal="justify"/>
    </xf>
    <xf numFmtId="0" fontId="3" fillId="0" borderId="0" xfId="0" applyNumberFormat="1" applyFont="1" applyAlignment="1">
      <alignment horizontal="left" wrapText="1"/>
    </xf>
    <xf numFmtId="0" fontId="14" fillId="0" borderId="0" xfId="0" applyNumberFormat="1" applyFont="1" applyAlignment="1">
      <alignment horizontal="justify"/>
    </xf>
    <xf numFmtId="0" fontId="14" fillId="0" borderId="0" xfId="7" applyNumberFormat="1" applyFont="1" applyAlignment="1">
      <alignment horizontal="center"/>
    </xf>
    <xf numFmtId="0" fontId="25" fillId="0" borderId="0" xfId="7" applyNumberFormat="1" applyFont="1" applyAlignment="1">
      <alignment horizontal="center"/>
    </xf>
    <xf numFmtId="0" fontId="14" fillId="0" borderId="0" xfId="7" applyNumberFormat="1" applyFont="1" applyAlignment="1">
      <alignment horizontal="justify" vertical="top" wrapText="1"/>
    </xf>
    <xf numFmtId="0" fontId="14" fillId="0" borderId="0" xfId="3" applyNumberFormat="1" applyFont="1" applyAlignment="1">
      <alignment horizontal="justify" vertical="top" wrapText="1"/>
    </xf>
    <xf numFmtId="0" fontId="14" fillId="0" borderId="5" xfId="7" applyNumberFormat="1" applyFont="1" applyBorder="1" applyAlignment="1">
      <alignment horizontal="center"/>
    </xf>
    <xf numFmtId="0" fontId="14" fillId="0" borderId="0" xfId="8" applyNumberFormat="1" applyFont="1" applyAlignment="1">
      <alignment horizontal="justify" vertical="top" wrapText="1"/>
    </xf>
    <xf numFmtId="0" fontId="14" fillId="0" borderId="0" xfId="0" applyNumberFormat="1" applyFont="1" applyAlignment="1" applyProtection="1">
      <protection locked="0"/>
    </xf>
    <xf numFmtId="0" fontId="14" fillId="0" borderId="0" xfId="4" applyNumberFormat="1" applyFont="1" applyAlignment="1">
      <alignment horizontal="justify" vertical="top" wrapText="1"/>
    </xf>
    <xf numFmtId="0" fontId="14" fillId="0" borderId="0" xfId="5" applyNumberFormat="1" applyFont="1" applyAlignment="1">
      <alignment horizontal="justify" vertical="top" wrapText="1"/>
    </xf>
    <xf numFmtId="0" fontId="14" fillId="0" borderId="0" xfId="5" applyNumberFormat="1" applyFont="1" applyAlignment="1">
      <alignment horizontal="center"/>
    </xf>
    <xf numFmtId="0" fontId="3" fillId="0" borderId="0" xfId="5" applyNumberFormat="1" applyFont="1" applyAlignment="1">
      <alignment horizontal="center"/>
    </xf>
    <xf numFmtId="0" fontId="5" fillId="0" borderId="0" xfId="0" applyNumberFormat="1" applyFont="1" applyAlignment="1">
      <alignment horizontal="center"/>
    </xf>
    <xf numFmtId="0" fontId="14" fillId="0" borderId="0" xfId="0" applyNumberFormat="1" applyFont="1" applyAlignment="1">
      <alignment horizontal="center"/>
    </xf>
    <xf numFmtId="0" fontId="25" fillId="0" borderId="0" xfId="0" applyNumberFormat="1" applyFont="1" applyAlignment="1">
      <alignment horizontal="center"/>
    </xf>
    <xf numFmtId="0" fontId="8" fillId="0" borderId="5" xfId="12" applyNumberFormat="1" applyFont="1" applyBorder="1" applyAlignment="1">
      <alignment horizontal="center"/>
    </xf>
    <xf numFmtId="0" fontId="8" fillId="0" borderId="0" xfId="12" applyNumberFormat="1" applyFont="1" applyFill="1" applyAlignment="1">
      <alignment horizontal="center"/>
    </xf>
    <xf numFmtId="176" fontId="14" fillId="0" borderId="3" xfId="11" applyFont="1" applyBorder="1" applyAlignment="1">
      <alignment horizontal="center"/>
    </xf>
    <xf numFmtId="41" fontId="14" fillId="0" borderId="6" xfId="11" quotePrefix="1" applyNumberFormat="1" applyFont="1" applyBorder="1" applyAlignment="1">
      <alignment horizontal="center"/>
    </xf>
    <xf numFmtId="0" fontId="5" fillId="0" borderId="3" xfId="0" applyNumberFormat="1" applyFont="1" applyBorder="1" applyAlignment="1" applyProtection="1">
      <alignment horizontal="center"/>
      <protection locked="0"/>
    </xf>
    <xf numFmtId="43" fontId="5" fillId="0" borderId="3" xfId="1" applyFont="1" applyBorder="1" applyAlignment="1" applyProtection="1">
      <alignment horizontal="center"/>
      <protection locked="0"/>
    </xf>
  </cellXfs>
  <cellStyles count="25">
    <cellStyle name="Comma" xfId="1" builtinId="3"/>
    <cellStyle name="Comma [0]" xfId="19" builtinId="6"/>
    <cellStyle name="Comma 2" xfId="16" xr:uid="{00000000-0005-0000-0000-000001000000}"/>
    <cellStyle name="Comma 3" xfId="24" xr:uid="{1DD4B599-328C-4815-8995-4C7812A86CA7}"/>
    <cellStyle name="Currency" xfId="2" builtinId="4"/>
    <cellStyle name="Currency 2" xfId="15" xr:uid="{00000000-0005-0000-0000-000003000000}"/>
    <cellStyle name="Currency 3" xfId="23" xr:uid="{FE2B53AC-63AB-40BE-B468-1C97AE713D13}"/>
    <cellStyle name="Normal" xfId="0" builtinId="0"/>
    <cellStyle name="Normal 2" xfId="14" xr:uid="{00000000-0005-0000-0000-000005000000}"/>
    <cellStyle name="Normal 2 2" xfId="17" xr:uid="{00000000-0005-0000-0000-000006000000}"/>
    <cellStyle name="Normal 3" xfId="18" xr:uid="{00000000-0005-0000-0000-000007000000}"/>
    <cellStyle name="Normal 4" xfId="21" xr:uid="{84721681-0D3C-4CBE-9BE0-A989227FE480}"/>
    <cellStyle name="Normal_F   5" xfId="3" xr:uid="{00000000-0005-0000-0000-000009000000}"/>
    <cellStyle name="Normal_F   6   7" xfId="4" xr:uid="{00000000-0005-0000-0000-00000A000000}"/>
    <cellStyle name="Normal_F   8  9  10" xfId="5" xr:uid="{00000000-0005-0000-0000-00000B000000}"/>
    <cellStyle name="Normal_F 2 B" xfId="6" xr:uid="{00000000-0005-0000-0000-00000C000000}"/>
    <cellStyle name="Normal_F 3B 4B" xfId="7" xr:uid="{00000000-0005-0000-0000-00000D000000}"/>
    <cellStyle name="Normal_F 5B" xfId="8" xr:uid="{00000000-0005-0000-0000-00000E000000}"/>
    <cellStyle name="Normal_Factors" xfId="9" xr:uid="{00000000-0005-0000-0000-00000F000000}"/>
    <cellStyle name="Normal_MetersServices" xfId="10" xr:uid="{00000000-0005-0000-0000-000010000000}"/>
    <cellStyle name="Normal_Sch M" xfId="11" xr:uid="{00000000-0005-0000-0000-000011000000}"/>
    <cellStyle name="Normal_Sched G" xfId="12" xr:uid="{00000000-0005-0000-0000-000012000000}"/>
    <cellStyle name="Percent" xfId="13" builtinId="5"/>
    <cellStyle name="Percent 2" xfId="20" xr:uid="{C6955EDF-B060-4814-BE9C-597C0D8FA00E}"/>
    <cellStyle name="Percent 3" xfId="22" xr:uid="{6B68B392-E02E-430F-BF10-B3C7D780A9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3:Y55"/>
  <sheetViews>
    <sheetView tabSelected="1" topLeftCell="A4" workbookViewId="0">
      <selection activeCell="D42" sqref="D42"/>
    </sheetView>
  </sheetViews>
  <sheetFormatPr defaultRowHeight="12.75" x14ac:dyDescent="0.2"/>
  <cols>
    <col min="2" max="2" width="24.33203125" customWidth="1"/>
    <col min="3" max="3" width="2" customWidth="1"/>
    <col min="4" max="4" width="14.21875" bestFit="1" customWidth="1"/>
    <col min="5" max="5" width="1.77734375" customWidth="1"/>
    <col min="6" max="6" width="8.109375" customWidth="1"/>
    <col min="7" max="7" width="3.5546875" customWidth="1"/>
    <col min="8" max="8" width="13.44140625" bestFit="1" customWidth="1"/>
    <col min="9" max="9" width="2.5546875" customWidth="1"/>
    <col min="10" max="10" width="8.5546875" customWidth="1"/>
    <col min="11" max="11" width="3.6640625" customWidth="1"/>
    <col min="12" max="12" width="15.44140625" bestFit="1" customWidth="1"/>
    <col min="13" max="13" width="3.109375" bestFit="1" customWidth="1"/>
    <col min="15" max="15" width="3.5546875" customWidth="1"/>
    <col min="16" max="16" width="13.109375" bestFit="1" customWidth="1"/>
    <col min="17" max="17" width="2.33203125" customWidth="1"/>
    <col min="18" max="18" width="8.33203125" customWidth="1"/>
    <col min="20" max="20" width="18.88671875" style="340" customWidth="1"/>
    <col min="22" max="22" width="11.21875" bestFit="1" customWidth="1"/>
    <col min="23" max="23" width="9" bestFit="1" customWidth="1"/>
    <col min="24" max="24" width="8.6640625" bestFit="1" customWidth="1"/>
    <col min="25" max="25" width="11" bestFit="1" customWidth="1"/>
  </cols>
  <sheetData>
    <row r="3" spans="2:23" x14ac:dyDescent="0.2">
      <c r="B3" s="243"/>
    </row>
    <row r="6" spans="2:23" ht="15" x14ac:dyDescent="0.2">
      <c r="B6" s="700" t="s">
        <v>8</v>
      </c>
      <c r="C6" s="700"/>
      <c r="D6" s="700"/>
      <c r="E6" s="700"/>
      <c r="F6" s="700"/>
      <c r="G6" s="700"/>
      <c r="H6" s="700"/>
      <c r="I6" s="700"/>
      <c r="J6" s="700"/>
      <c r="K6" s="700"/>
      <c r="L6" s="700"/>
      <c r="M6" s="700"/>
      <c r="N6" s="700"/>
      <c r="O6" s="700"/>
      <c r="P6" s="700"/>
      <c r="Q6" s="700"/>
      <c r="R6" s="700"/>
    </row>
    <row r="7" spans="2:23" ht="15" x14ac:dyDescent="0.2">
      <c r="B7" s="700"/>
      <c r="C7" s="700"/>
      <c r="D7" s="700"/>
      <c r="E7" s="700"/>
      <c r="F7" s="700"/>
      <c r="G7" s="700"/>
      <c r="H7" s="700"/>
      <c r="I7" s="700"/>
      <c r="J7" s="700"/>
      <c r="K7" s="700"/>
      <c r="L7" s="700"/>
      <c r="M7" s="700"/>
      <c r="N7" s="700"/>
      <c r="O7" s="700"/>
      <c r="P7" s="700"/>
      <c r="Q7" s="700"/>
      <c r="R7" s="700"/>
    </row>
    <row r="8" spans="2:23" ht="6.6" customHeight="1" x14ac:dyDescent="0.2">
      <c r="B8" s="105"/>
      <c r="C8" s="105"/>
      <c r="D8" s="105"/>
      <c r="E8" s="105"/>
      <c r="F8" s="105"/>
      <c r="G8" s="105"/>
      <c r="H8" s="105"/>
      <c r="I8" s="105"/>
      <c r="J8" s="105"/>
      <c r="K8" s="105"/>
      <c r="L8" s="105"/>
      <c r="M8" s="106"/>
      <c r="N8" s="106"/>
      <c r="O8" s="106"/>
      <c r="P8" s="106"/>
      <c r="Q8" s="106"/>
      <c r="R8" s="106"/>
    </row>
    <row r="9" spans="2:23" ht="15" x14ac:dyDescent="0.2">
      <c r="B9" s="700" t="s">
        <v>354</v>
      </c>
      <c r="C9" s="700"/>
      <c r="D9" s="700"/>
      <c r="E9" s="700"/>
      <c r="F9" s="700"/>
      <c r="G9" s="700"/>
      <c r="H9" s="700"/>
      <c r="I9" s="700"/>
      <c r="J9" s="700"/>
      <c r="K9" s="700"/>
      <c r="L9" s="700"/>
      <c r="M9" s="700"/>
      <c r="N9" s="700"/>
      <c r="O9" s="700"/>
      <c r="P9" s="700"/>
      <c r="Q9" s="700"/>
      <c r="R9" s="700"/>
    </row>
    <row r="10" spans="2:23" ht="15" x14ac:dyDescent="0.2">
      <c r="B10" s="701" t="s">
        <v>654</v>
      </c>
      <c r="C10" s="701"/>
      <c r="D10" s="701"/>
      <c r="E10" s="701"/>
      <c r="F10" s="701"/>
      <c r="G10" s="701"/>
      <c r="H10" s="701"/>
      <c r="I10" s="701"/>
      <c r="J10" s="701"/>
      <c r="K10" s="701"/>
      <c r="L10" s="701"/>
      <c r="M10" s="701"/>
      <c r="N10" s="701"/>
      <c r="O10" s="701"/>
      <c r="P10" s="701"/>
      <c r="Q10" s="701"/>
      <c r="R10" s="701"/>
    </row>
    <row r="11" spans="2:23" ht="15.75" x14ac:dyDescent="0.25">
      <c r="B11" s="284"/>
      <c r="C11" s="284"/>
      <c r="D11" s="284"/>
      <c r="E11" s="284"/>
      <c r="F11" s="284"/>
      <c r="G11" s="284"/>
      <c r="H11" s="284"/>
      <c r="I11" s="284"/>
      <c r="J11" s="284"/>
      <c r="K11" s="284"/>
      <c r="L11" s="284"/>
      <c r="M11" s="285"/>
      <c r="N11" s="285"/>
      <c r="O11" s="285"/>
      <c r="P11" s="285"/>
      <c r="Q11" s="285"/>
      <c r="R11" s="285"/>
    </row>
    <row r="12" spans="2:23" ht="9.6" customHeight="1" x14ac:dyDescent="0.2">
      <c r="B12" s="105"/>
      <c r="C12" s="105"/>
      <c r="D12" s="105"/>
      <c r="E12" s="105"/>
      <c r="F12" s="105"/>
      <c r="G12" s="105"/>
      <c r="H12" s="105"/>
      <c r="I12" s="105"/>
      <c r="J12" s="105"/>
      <c r="K12" s="105"/>
      <c r="L12" s="125"/>
      <c r="M12" s="597"/>
      <c r="N12" s="597"/>
      <c r="O12" s="597"/>
      <c r="P12" s="597"/>
      <c r="Q12" s="597"/>
      <c r="R12" s="597"/>
    </row>
    <row r="13" spans="2:23" ht="15" x14ac:dyDescent="0.2">
      <c r="B13" s="107"/>
      <c r="C13" s="107"/>
      <c r="D13" s="698" t="s">
        <v>355</v>
      </c>
      <c r="E13" s="698"/>
      <c r="F13" s="698"/>
      <c r="G13" s="105"/>
      <c r="H13" s="105"/>
      <c r="I13" s="105"/>
      <c r="J13" s="105"/>
      <c r="K13" s="105"/>
      <c r="L13" s="125"/>
      <c r="M13" s="597"/>
      <c r="N13" s="597"/>
      <c r="O13" s="597"/>
      <c r="P13" s="699" t="s">
        <v>356</v>
      </c>
      <c r="Q13" s="699"/>
      <c r="R13" s="699"/>
    </row>
    <row r="14" spans="2:23" ht="15" x14ac:dyDescent="0.2">
      <c r="B14" s="104" t="s">
        <v>188</v>
      </c>
      <c r="C14" s="104"/>
      <c r="D14" s="121" t="s">
        <v>357</v>
      </c>
      <c r="G14" s="105"/>
      <c r="H14" s="698" t="s">
        <v>358</v>
      </c>
      <c r="I14" s="698"/>
      <c r="J14" s="698"/>
      <c r="K14" s="105"/>
      <c r="L14" s="699" t="s">
        <v>359</v>
      </c>
      <c r="M14" s="699"/>
      <c r="N14" s="699"/>
      <c r="O14" s="597"/>
      <c r="P14" s="597"/>
      <c r="Q14" s="597"/>
      <c r="R14" s="542" t="s">
        <v>224</v>
      </c>
    </row>
    <row r="15" spans="2:23" ht="15" x14ac:dyDescent="0.2">
      <c r="B15" s="108" t="s">
        <v>141</v>
      </c>
      <c r="C15" s="107"/>
      <c r="D15" s="108" t="s">
        <v>377</v>
      </c>
      <c r="E15" s="105"/>
      <c r="F15" s="108" t="s">
        <v>224</v>
      </c>
      <c r="G15" s="105"/>
      <c r="H15" s="108" t="s">
        <v>357</v>
      </c>
      <c r="I15" s="105"/>
      <c r="J15" s="108" t="s">
        <v>224</v>
      </c>
      <c r="K15" s="105"/>
      <c r="L15" s="239" t="s">
        <v>357</v>
      </c>
      <c r="M15" s="125"/>
      <c r="N15" s="239" t="s">
        <v>224</v>
      </c>
      <c r="O15" s="597"/>
      <c r="P15" s="239" t="s">
        <v>357</v>
      </c>
      <c r="Q15" s="125"/>
      <c r="R15" s="239" t="s">
        <v>360</v>
      </c>
      <c r="V15" t="s">
        <v>389</v>
      </c>
    </row>
    <row r="16" spans="2:23" ht="15" x14ac:dyDescent="0.2">
      <c r="B16" s="109" t="s">
        <v>143</v>
      </c>
      <c r="C16" s="110"/>
      <c r="D16" s="109" t="s">
        <v>163</v>
      </c>
      <c r="E16" s="110"/>
      <c r="F16" s="109" t="s">
        <v>145</v>
      </c>
      <c r="G16" s="110"/>
      <c r="H16" s="590" t="s">
        <v>165</v>
      </c>
      <c r="I16" s="584"/>
      <c r="J16" s="590" t="s">
        <v>177</v>
      </c>
      <c r="K16" s="105"/>
      <c r="L16" s="590" t="s">
        <v>191</v>
      </c>
      <c r="M16" s="584"/>
      <c r="N16" s="590" t="s">
        <v>198</v>
      </c>
      <c r="O16" s="597"/>
      <c r="P16" s="590" t="s">
        <v>361</v>
      </c>
      <c r="Q16" s="584"/>
      <c r="R16" s="590" t="s">
        <v>362</v>
      </c>
      <c r="U16" s="340"/>
      <c r="V16" s="340"/>
      <c r="W16" s="340"/>
    </row>
    <row r="17" spans="1:25" ht="15" x14ac:dyDescent="0.2">
      <c r="B17" s="105"/>
      <c r="C17" s="125"/>
      <c r="D17" s="125"/>
      <c r="E17" s="125"/>
      <c r="F17" s="125"/>
      <c r="G17" s="105"/>
      <c r="H17" s="125"/>
      <c r="I17" s="125"/>
      <c r="J17" s="125"/>
      <c r="K17" s="105"/>
      <c r="L17" s="125"/>
      <c r="M17" s="125"/>
      <c r="N17" s="125"/>
      <c r="O17" s="597"/>
      <c r="P17" s="125"/>
      <c r="Q17" s="125"/>
      <c r="R17" s="125"/>
      <c r="U17" s="340"/>
      <c r="V17" s="340" t="s">
        <v>380</v>
      </c>
      <c r="W17" s="340" t="s">
        <v>658</v>
      </c>
      <c r="X17" t="s">
        <v>659</v>
      </c>
    </row>
    <row r="18" spans="1:25" ht="15" x14ac:dyDescent="0.2">
      <c r="A18" s="120"/>
      <c r="B18" s="105" t="s">
        <v>146</v>
      </c>
      <c r="C18" s="125"/>
      <c r="D18" s="582">
        <f>+'Sch B COS'!L270</f>
        <v>58287638.314506754</v>
      </c>
      <c r="E18" s="125"/>
      <c r="F18" s="583">
        <f>ROUND(D18/D$32,3)-0.001</f>
        <v>0.55200000000000005</v>
      </c>
      <c r="G18" s="262"/>
      <c r="H18" s="582">
        <f>+Y18</f>
        <v>47551194</v>
      </c>
      <c r="I18" s="591"/>
      <c r="J18" s="583">
        <f>ROUND(H18/H$32,3)+0.001</f>
        <v>0.55700000000000005</v>
      </c>
      <c r="K18" s="262"/>
      <c r="L18" s="582">
        <f>+Y31</f>
        <v>58459635</v>
      </c>
      <c r="M18" s="591"/>
      <c r="N18" s="583">
        <f>ROUND(L18/L$32,3)-0.001</f>
        <v>0.55400000000000005</v>
      </c>
      <c r="O18" s="597"/>
      <c r="P18" s="582">
        <f>+L18-H18</f>
        <v>10908441</v>
      </c>
      <c r="Q18" s="125"/>
      <c r="R18" s="583">
        <f>+P18/H18</f>
        <v>0.22940414493061942</v>
      </c>
      <c r="S18" s="546"/>
      <c r="T18" s="242"/>
      <c r="U18" s="340" t="s">
        <v>660</v>
      </c>
      <c r="V18" s="596">
        <v>46991859</v>
      </c>
      <c r="W18" s="496">
        <v>250158</v>
      </c>
      <c r="X18" s="496">
        <v>309177</v>
      </c>
      <c r="Y18" s="596">
        <f>+SUM(V18:X18)</f>
        <v>47551194</v>
      </c>
    </row>
    <row r="19" spans="1:25" ht="15" x14ac:dyDescent="0.2">
      <c r="A19" s="120"/>
      <c r="B19" s="105"/>
      <c r="C19" s="125"/>
      <c r="D19" s="125"/>
      <c r="E19" s="125"/>
      <c r="F19" s="583"/>
      <c r="G19" s="262"/>
      <c r="H19" s="582"/>
      <c r="I19" s="125"/>
      <c r="J19" s="583"/>
      <c r="K19" s="262"/>
      <c r="L19" s="582"/>
      <c r="M19" s="125"/>
      <c r="N19" s="125"/>
      <c r="O19" s="597"/>
      <c r="P19" s="125"/>
      <c r="Q19" s="125"/>
      <c r="R19" s="583"/>
      <c r="S19" s="340"/>
      <c r="T19" s="242"/>
      <c r="U19" s="340" t="s">
        <v>661</v>
      </c>
      <c r="V19" s="596">
        <v>21631116</v>
      </c>
      <c r="W19" s="496">
        <v>22553</v>
      </c>
      <c r="X19" s="496">
        <v>10279</v>
      </c>
      <c r="Y19" s="596">
        <f t="shared" ref="Y19:Y27" si="0">+SUM(V19:X19)</f>
        <v>21663948</v>
      </c>
    </row>
    <row r="20" spans="1:25" ht="15" x14ac:dyDescent="0.2">
      <c r="A20" s="120"/>
      <c r="B20" s="105" t="s">
        <v>147</v>
      </c>
      <c r="C20" s="125"/>
      <c r="D20" s="584">
        <f>+'Sch B COS'!N270</f>
        <v>27143182.047016196</v>
      </c>
      <c r="E20" s="125"/>
      <c r="F20" s="583">
        <f t="shared" ref="F20:F30" si="1">ROUND(D20/D$32,3)</f>
        <v>0.25700000000000001</v>
      </c>
      <c r="G20" s="262"/>
      <c r="H20" s="592">
        <f>+Y19+Y25</f>
        <v>21724229</v>
      </c>
      <c r="I20" s="593" t="s">
        <v>387</v>
      </c>
      <c r="J20" s="583">
        <f>ROUND(H20/H$32,3)</f>
        <v>0.254</v>
      </c>
      <c r="K20" s="262"/>
      <c r="L20" s="592">
        <f>+Y32+Y38</f>
        <v>27128329</v>
      </c>
      <c r="M20" s="591" t="s">
        <v>387</v>
      </c>
      <c r="N20" s="583">
        <f>ROUND(L20/L$32,3)</f>
        <v>0.25800000000000001</v>
      </c>
      <c r="O20" s="597"/>
      <c r="P20" s="584">
        <f>+L20-H20</f>
        <v>5404100</v>
      </c>
      <c r="Q20" s="125"/>
      <c r="R20" s="583">
        <f>+P20/H20</f>
        <v>0.24875911591615057</v>
      </c>
      <c r="S20" s="546"/>
      <c r="T20" s="242"/>
      <c r="U20" s="340" t="s">
        <v>662</v>
      </c>
      <c r="V20" s="596">
        <v>2515892</v>
      </c>
      <c r="W20" s="496">
        <v>0</v>
      </c>
      <c r="X20" s="496">
        <v>0</v>
      </c>
      <c r="Y20" s="596">
        <f t="shared" si="0"/>
        <v>2515892</v>
      </c>
    </row>
    <row r="21" spans="1:25" ht="15" x14ac:dyDescent="0.2">
      <c r="A21" s="120"/>
      <c r="B21" s="105"/>
      <c r="C21" s="125"/>
      <c r="D21" s="584"/>
      <c r="E21" s="125"/>
      <c r="F21" s="583"/>
      <c r="G21" s="262"/>
      <c r="H21" s="592"/>
      <c r="I21" s="125"/>
      <c r="J21" s="583"/>
      <c r="K21" s="262"/>
      <c r="L21" s="592"/>
      <c r="M21" s="125"/>
      <c r="N21" s="125"/>
      <c r="O21" s="597"/>
      <c r="P21" s="584"/>
      <c r="Q21" s="125"/>
      <c r="R21" s="583"/>
      <c r="S21" s="340"/>
      <c r="T21" s="242"/>
      <c r="U21" s="340" t="s">
        <v>636</v>
      </c>
      <c r="V21" s="596">
        <v>5703375</v>
      </c>
      <c r="W21" s="496">
        <v>0</v>
      </c>
      <c r="X21" s="496">
        <v>0</v>
      </c>
      <c r="Y21" s="596">
        <f t="shared" si="0"/>
        <v>5703375</v>
      </c>
    </row>
    <row r="22" spans="1:25" ht="15" x14ac:dyDescent="0.2">
      <c r="A22" s="120"/>
      <c r="B22" s="105" t="s">
        <v>148</v>
      </c>
      <c r="C22" s="125"/>
      <c r="D22" s="584">
        <f>+'Sch B COS'!P270</f>
        <v>3093699.0040570535</v>
      </c>
      <c r="E22" s="125"/>
      <c r="F22" s="583">
        <f>ROUND(D22/D$32,3)</f>
        <v>2.9000000000000001E-2</v>
      </c>
      <c r="G22" s="262"/>
      <c r="H22" s="592">
        <f>+Y20</f>
        <v>2515892</v>
      </c>
      <c r="I22" s="125"/>
      <c r="J22" s="583">
        <f t="shared" ref="J22:J30" si="2">ROUND(H22/H$32,3)</f>
        <v>2.9000000000000001E-2</v>
      </c>
      <c r="K22" s="262"/>
      <c r="L22" s="592">
        <f>+Y33</f>
        <v>3095858</v>
      </c>
      <c r="M22" s="125"/>
      <c r="N22" s="583">
        <f>ROUND(L22/L$32,3)</f>
        <v>2.9000000000000001E-2</v>
      </c>
      <c r="O22" s="597"/>
      <c r="P22" s="584">
        <f>+L22-H22</f>
        <v>579966</v>
      </c>
      <c r="Q22" s="125"/>
      <c r="R22" s="583">
        <f>+P22/H22</f>
        <v>0.23052102395492335</v>
      </c>
      <c r="S22" s="546"/>
      <c r="T22" s="242"/>
      <c r="U22" s="340" t="s">
        <v>663</v>
      </c>
      <c r="V22" s="596">
        <v>1541318</v>
      </c>
      <c r="W22" s="496">
        <v>169772</v>
      </c>
      <c r="X22" s="496">
        <v>0</v>
      </c>
      <c r="Y22" s="596">
        <f t="shared" si="0"/>
        <v>1711090</v>
      </c>
    </row>
    <row r="23" spans="1:25" ht="15" x14ac:dyDescent="0.2">
      <c r="A23" s="120"/>
      <c r="B23" s="105"/>
      <c r="C23" s="125"/>
      <c r="D23" s="584"/>
      <c r="E23" s="125"/>
      <c r="F23" s="583"/>
      <c r="G23" s="262"/>
      <c r="H23" s="592"/>
      <c r="I23" s="125"/>
      <c r="J23" s="583"/>
      <c r="K23" s="262"/>
      <c r="L23" s="592"/>
      <c r="M23" s="125"/>
      <c r="N23" s="125"/>
      <c r="O23" s="597"/>
      <c r="P23" s="584"/>
      <c r="Q23" s="125"/>
      <c r="R23" s="583"/>
      <c r="S23" s="340"/>
      <c r="T23" s="242"/>
      <c r="U23" s="340" t="s">
        <v>664</v>
      </c>
      <c r="V23" s="596">
        <v>2664721</v>
      </c>
      <c r="W23" s="496">
        <v>0</v>
      </c>
      <c r="X23" s="496">
        <v>0</v>
      </c>
      <c r="Y23" s="596">
        <f t="shared" si="0"/>
        <v>2664721</v>
      </c>
    </row>
    <row r="24" spans="1:25" ht="15" x14ac:dyDescent="0.2">
      <c r="A24" s="120"/>
      <c r="B24" s="105" t="s">
        <v>363</v>
      </c>
      <c r="C24" s="125"/>
      <c r="D24" s="584">
        <f>+'Sch B COS'!R270</f>
        <v>7125471.7717966335</v>
      </c>
      <c r="E24" s="125"/>
      <c r="F24" s="583">
        <f>ROUND(D24/D$32,3)</f>
        <v>6.8000000000000005E-2</v>
      </c>
      <c r="G24" s="262"/>
      <c r="H24" s="592">
        <f>+Y21</f>
        <v>5703375</v>
      </c>
      <c r="I24" s="125"/>
      <c r="J24" s="583">
        <f t="shared" si="2"/>
        <v>6.7000000000000004E-2</v>
      </c>
      <c r="K24" s="262"/>
      <c r="L24" s="592">
        <f>+Y34</f>
        <v>7123901</v>
      </c>
      <c r="M24" s="125"/>
      <c r="N24" s="583">
        <f>ROUND(L24/L$32,3)</f>
        <v>6.8000000000000005E-2</v>
      </c>
      <c r="O24" s="597"/>
      <c r="P24" s="584">
        <f>+L24-H24</f>
        <v>1420526</v>
      </c>
      <c r="Q24" s="125"/>
      <c r="R24" s="583">
        <f>+P24/H24</f>
        <v>0.24906761347447784</v>
      </c>
      <c r="S24" s="546"/>
      <c r="T24" s="242"/>
      <c r="U24" s="340" t="s">
        <v>665</v>
      </c>
      <c r="V24" s="596">
        <v>3591958</v>
      </c>
      <c r="W24" s="496">
        <v>19152</v>
      </c>
      <c r="X24" s="496">
        <v>0</v>
      </c>
      <c r="Y24" s="596">
        <f t="shared" si="0"/>
        <v>3611110</v>
      </c>
    </row>
    <row r="25" spans="1:25" ht="15" x14ac:dyDescent="0.2">
      <c r="A25" s="120"/>
      <c r="B25" s="105"/>
      <c r="C25" s="125"/>
      <c r="D25" s="584"/>
      <c r="E25" s="125"/>
      <c r="F25" s="583"/>
      <c r="G25" s="262"/>
      <c r="H25" s="592"/>
      <c r="I25" s="125"/>
      <c r="J25" s="583"/>
      <c r="K25" s="262"/>
      <c r="L25" s="592"/>
      <c r="M25" s="125"/>
      <c r="N25" s="125"/>
      <c r="O25" s="597"/>
      <c r="P25" s="584"/>
      <c r="Q25" s="125"/>
      <c r="R25" s="583"/>
      <c r="S25" s="340"/>
      <c r="T25" s="242"/>
      <c r="U25" s="340" t="s">
        <v>666</v>
      </c>
      <c r="V25" s="596">
        <v>60281</v>
      </c>
      <c r="W25" s="496">
        <v>0</v>
      </c>
      <c r="X25" s="496">
        <v>0</v>
      </c>
      <c r="Y25" s="596">
        <f t="shared" si="0"/>
        <v>60281</v>
      </c>
    </row>
    <row r="26" spans="1:25" ht="15" x14ac:dyDescent="0.2">
      <c r="A26" s="120"/>
      <c r="B26" s="105" t="s">
        <v>267</v>
      </c>
      <c r="C26" s="125"/>
      <c r="D26" s="584">
        <f>+'Sch B COS'!T270</f>
        <v>2075170.7031706758</v>
      </c>
      <c r="E26" s="125"/>
      <c r="F26" s="583">
        <f t="shared" si="1"/>
        <v>0.02</v>
      </c>
      <c r="G26" s="262"/>
      <c r="H26" s="592">
        <f>+Y22</f>
        <v>1711090</v>
      </c>
      <c r="I26" s="125"/>
      <c r="J26" s="583">
        <f t="shared" si="2"/>
        <v>0.02</v>
      </c>
      <c r="K26" s="262"/>
      <c r="L26" s="592">
        <f>+Y35</f>
        <v>2078311</v>
      </c>
      <c r="M26" s="125"/>
      <c r="N26" s="583">
        <f>ROUND(L26/L$32,3)</f>
        <v>0.02</v>
      </c>
      <c r="O26" s="597"/>
      <c r="P26" s="584">
        <f>+L26-H26</f>
        <v>367221</v>
      </c>
      <c r="Q26" s="125"/>
      <c r="R26" s="583">
        <f>+P26/H26</f>
        <v>0.21461232313905171</v>
      </c>
      <c r="S26" s="546"/>
      <c r="T26" s="242"/>
      <c r="U26" s="340"/>
      <c r="V26" s="596">
        <v>0</v>
      </c>
      <c r="W26" s="496">
        <v>0</v>
      </c>
      <c r="X26" s="496">
        <v>0</v>
      </c>
      <c r="Y26" s="596">
        <f t="shared" si="0"/>
        <v>0</v>
      </c>
    </row>
    <row r="27" spans="1:25" ht="15" x14ac:dyDescent="0.2">
      <c r="A27" s="120"/>
      <c r="B27" s="105"/>
      <c r="C27" s="125"/>
      <c r="D27" s="584"/>
      <c r="E27" s="125"/>
      <c r="F27" s="583"/>
      <c r="G27" s="262"/>
      <c r="H27" s="592"/>
      <c r="I27" s="125"/>
      <c r="J27" s="583"/>
      <c r="K27" s="262"/>
      <c r="L27" s="592"/>
      <c r="M27" s="125"/>
      <c r="N27" s="125"/>
      <c r="O27" s="597"/>
      <c r="P27" s="584"/>
      <c r="Q27" s="125"/>
      <c r="R27" s="583"/>
      <c r="S27" s="340"/>
      <c r="T27" s="242"/>
      <c r="U27" s="340"/>
      <c r="V27" s="596">
        <f>SUM(V18:V26)</f>
        <v>84700520</v>
      </c>
      <c r="W27" s="496">
        <v>461635</v>
      </c>
      <c r="X27" s="496">
        <v>319456</v>
      </c>
      <c r="Y27" s="596">
        <f t="shared" si="0"/>
        <v>85481611</v>
      </c>
    </row>
    <row r="28" spans="1:25" ht="15" x14ac:dyDescent="0.2">
      <c r="A28" s="120"/>
      <c r="B28" s="105" t="s">
        <v>364</v>
      </c>
      <c r="C28" s="125"/>
      <c r="D28" s="584">
        <f>+'Sch B COS'!V270</f>
        <v>2910387.1416160213</v>
      </c>
      <c r="E28" s="125"/>
      <c r="F28" s="583">
        <f>ROUND(D28/D$32,3)</f>
        <v>2.8000000000000001E-2</v>
      </c>
      <c r="G28" s="262"/>
      <c r="H28" s="592">
        <f>+Y23</f>
        <v>2664721</v>
      </c>
      <c r="I28" s="125"/>
      <c r="J28" s="583">
        <f t="shared" si="2"/>
        <v>3.1E-2</v>
      </c>
      <c r="K28" s="262"/>
      <c r="L28" s="592">
        <f>+Y36</f>
        <v>3011136</v>
      </c>
      <c r="M28" s="125"/>
      <c r="N28" s="583">
        <f>ROUND(L28/L$32,3)</f>
        <v>2.9000000000000001E-2</v>
      </c>
      <c r="O28" s="597"/>
      <c r="P28" s="584">
        <f>+L28-H28</f>
        <v>346415</v>
      </c>
      <c r="Q28" s="125"/>
      <c r="R28" s="583">
        <f>+P28/H28</f>
        <v>0.13000047659773761</v>
      </c>
      <c r="S28" s="546"/>
      <c r="T28" s="242"/>
      <c r="U28" s="340"/>
      <c r="V28" s="596"/>
      <c r="W28" s="496"/>
      <c r="X28" s="496"/>
    </row>
    <row r="29" spans="1:25" ht="15" x14ac:dyDescent="0.2">
      <c r="B29" s="105"/>
      <c r="C29" s="125"/>
      <c r="D29" s="584"/>
      <c r="E29" s="125"/>
      <c r="F29" s="583"/>
      <c r="G29" s="262"/>
      <c r="H29" s="592"/>
      <c r="I29" s="125"/>
      <c r="J29" s="583"/>
      <c r="K29" s="262"/>
      <c r="L29" s="592"/>
      <c r="M29" s="125"/>
      <c r="N29" s="583"/>
      <c r="O29" s="597"/>
      <c r="P29" s="584"/>
      <c r="Q29" s="125"/>
      <c r="R29" s="583"/>
      <c r="S29" s="340"/>
      <c r="T29" s="242"/>
      <c r="U29" s="340"/>
      <c r="V29" s="596"/>
      <c r="W29" s="496"/>
      <c r="X29" s="496"/>
    </row>
    <row r="30" spans="1:25" ht="15" x14ac:dyDescent="0.2">
      <c r="B30" s="105" t="s">
        <v>365</v>
      </c>
      <c r="C30" s="125"/>
      <c r="D30" s="585">
        <f>+'Sch B COS'!X270</f>
        <v>4847722.4953862093</v>
      </c>
      <c r="E30" s="125"/>
      <c r="F30" s="586">
        <f t="shared" si="1"/>
        <v>4.5999999999999999E-2</v>
      </c>
      <c r="G30" s="262"/>
      <c r="H30" s="594">
        <f>+Y24</f>
        <v>3611110</v>
      </c>
      <c r="I30" s="125"/>
      <c r="J30" s="586">
        <f t="shared" si="2"/>
        <v>4.2000000000000003E-2</v>
      </c>
      <c r="K30" s="262"/>
      <c r="L30" s="594">
        <f>+Y37</f>
        <v>4449177</v>
      </c>
      <c r="M30" s="125"/>
      <c r="N30" s="586">
        <f>ROUND(L30/L$32,3)</f>
        <v>4.2000000000000003E-2</v>
      </c>
      <c r="O30" s="597"/>
      <c r="P30" s="585">
        <f>+L30-H30</f>
        <v>838067</v>
      </c>
      <c r="Q30" s="125"/>
      <c r="R30" s="583">
        <f>+P30/H30</f>
        <v>0.23208016371697346</v>
      </c>
      <c r="S30" s="546"/>
      <c r="T30" s="242"/>
      <c r="U30" s="340"/>
      <c r="V30" s="596" t="s">
        <v>390</v>
      </c>
      <c r="W30" s="496"/>
      <c r="X30" s="496"/>
    </row>
    <row r="31" spans="1:25" ht="15" x14ac:dyDescent="0.2">
      <c r="B31" s="105"/>
      <c r="C31" s="125"/>
      <c r="D31" s="584"/>
      <c r="E31" s="125"/>
      <c r="F31" s="125"/>
      <c r="G31" s="262"/>
      <c r="H31" s="584"/>
      <c r="I31" s="125"/>
      <c r="J31" s="125"/>
      <c r="K31" s="262"/>
      <c r="L31" s="584"/>
      <c r="M31" s="125"/>
      <c r="N31" s="125"/>
      <c r="O31" s="597"/>
      <c r="P31" s="584"/>
      <c r="Q31" s="125"/>
      <c r="R31" s="583"/>
      <c r="S31" s="243"/>
      <c r="T31" s="242"/>
      <c r="U31" s="340" t="s">
        <v>660</v>
      </c>
      <c r="V31" s="596">
        <v>58042434</v>
      </c>
      <c r="W31" s="496">
        <v>182608</v>
      </c>
      <c r="X31" s="496">
        <v>234593</v>
      </c>
      <c r="Y31" s="596">
        <f>+SUM(V31:X31)</f>
        <v>58459635</v>
      </c>
    </row>
    <row r="32" spans="1:25" ht="15.75" thickBot="1" x14ac:dyDescent="0.25">
      <c r="B32" s="105" t="s">
        <v>366</v>
      </c>
      <c r="C32" s="125"/>
      <c r="D32" s="584">
        <f>SUM(D18:D30)</f>
        <v>105483271.47754952</v>
      </c>
      <c r="E32" s="125"/>
      <c r="F32" s="587">
        <f>SUM(F18:F30)</f>
        <v>1.0000000000000002</v>
      </c>
      <c r="G32" s="262"/>
      <c r="H32" s="584">
        <f>SUM(H18:H30)</f>
        <v>85481611</v>
      </c>
      <c r="I32" s="125"/>
      <c r="J32" s="587">
        <f>SUM(J18:J30)</f>
        <v>1</v>
      </c>
      <c r="K32" s="262"/>
      <c r="L32" s="584">
        <f>SUM(L18:L30)</f>
        <v>105346347</v>
      </c>
      <c r="M32" s="125"/>
      <c r="N32" s="587">
        <f>SUM(N18:N30)</f>
        <v>1</v>
      </c>
      <c r="O32" s="597"/>
      <c r="P32" s="584">
        <f>SUM(P18:P30)</f>
        <v>19864736</v>
      </c>
      <c r="Q32" s="125"/>
      <c r="R32" s="583">
        <f>+P32/H32</f>
        <v>0.23238607423999064</v>
      </c>
      <c r="S32" s="243"/>
      <c r="T32" s="243"/>
      <c r="U32" s="340" t="s">
        <v>661</v>
      </c>
      <c r="V32" s="596">
        <v>27036880</v>
      </c>
      <c r="W32" s="496">
        <v>23276</v>
      </c>
      <c r="X32" s="496">
        <v>7892</v>
      </c>
      <c r="Y32" s="596">
        <f t="shared" ref="Y32:Y40" si="3">+SUM(V32:X32)</f>
        <v>27068048</v>
      </c>
    </row>
    <row r="33" spans="2:25" ht="15.75" thickTop="1" x14ac:dyDescent="0.2">
      <c r="B33" s="105"/>
      <c r="C33" s="125"/>
      <c r="D33" s="584"/>
      <c r="E33" s="125"/>
      <c r="F33" s="125"/>
      <c r="G33" s="262"/>
      <c r="H33" s="595"/>
      <c r="I33" s="125"/>
      <c r="J33" s="125"/>
      <c r="K33" s="262"/>
      <c r="L33" s="584"/>
      <c r="M33" s="125"/>
      <c r="N33" s="125"/>
      <c r="O33" s="597"/>
      <c r="P33" s="584"/>
      <c r="Q33" s="125"/>
      <c r="R33" s="583"/>
      <c r="S33" s="243"/>
      <c r="T33" s="243"/>
      <c r="U33" s="340" t="s">
        <v>662</v>
      </c>
      <c r="V33" s="596">
        <v>3095858</v>
      </c>
      <c r="W33" s="496">
        <v>0</v>
      </c>
      <c r="X33" s="496">
        <v>0</v>
      </c>
      <c r="Y33" s="596">
        <f t="shared" si="3"/>
        <v>3095858</v>
      </c>
    </row>
    <row r="34" spans="2:25" ht="15" x14ac:dyDescent="0.2">
      <c r="B34" s="111" t="s">
        <v>692</v>
      </c>
      <c r="C34" s="588"/>
      <c r="D34" s="585">
        <f>+'Sch B COS'!J267</f>
        <v>3034555</v>
      </c>
      <c r="E34" s="588"/>
      <c r="F34" s="588"/>
      <c r="G34" s="448"/>
      <c r="H34" s="594">
        <f>+D34</f>
        <v>3034555</v>
      </c>
      <c r="I34" s="588"/>
      <c r="J34" s="588"/>
      <c r="K34" s="448"/>
      <c r="L34" s="594">
        <f>+H34</f>
        <v>3034555</v>
      </c>
      <c r="M34" s="588"/>
      <c r="N34" s="588"/>
      <c r="O34" s="598"/>
      <c r="P34" s="585">
        <f>+L34-H34</f>
        <v>0</v>
      </c>
      <c r="Q34" s="588"/>
      <c r="R34" s="583">
        <f>+P34/H34</f>
        <v>0</v>
      </c>
      <c r="S34" s="243"/>
      <c r="T34" s="243"/>
      <c r="U34" s="340" t="s">
        <v>636</v>
      </c>
      <c r="V34" s="596">
        <v>7123901</v>
      </c>
      <c r="W34" s="496">
        <v>0</v>
      </c>
      <c r="X34" s="496">
        <v>0</v>
      </c>
      <c r="Y34" s="596">
        <f t="shared" si="3"/>
        <v>7123901</v>
      </c>
    </row>
    <row r="35" spans="2:25" ht="15" x14ac:dyDescent="0.2">
      <c r="B35" s="105"/>
      <c r="C35" s="125"/>
      <c r="D35" s="125"/>
      <c r="E35" s="125"/>
      <c r="F35" s="125"/>
      <c r="G35" s="262"/>
      <c r="H35" s="125"/>
      <c r="I35" s="125"/>
      <c r="J35" s="125"/>
      <c r="K35" s="262"/>
      <c r="L35" s="125"/>
      <c r="M35" s="125"/>
      <c r="N35" s="125"/>
      <c r="O35" s="597"/>
      <c r="P35" s="125"/>
      <c r="Q35" s="125"/>
      <c r="R35" s="583"/>
      <c r="S35" s="243"/>
      <c r="T35" s="243"/>
      <c r="U35" s="340" t="s">
        <v>663</v>
      </c>
      <c r="V35" s="596">
        <v>1897359</v>
      </c>
      <c r="W35" s="496">
        <v>180952</v>
      </c>
      <c r="X35" s="496">
        <v>0</v>
      </c>
      <c r="Y35" s="596">
        <f t="shared" si="3"/>
        <v>2078311</v>
      </c>
    </row>
    <row r="36" spans="2:25" ht="15.75" thickBot="1" x14ac:dyDescent="0.25">
      <c r="B36" s="105" t="s">
        <v>367</v>
      </c>
      <c r="C36" s="125"/>
      <c r="D36" s="589">
        <f>+D34+D32</f>
        <v>108517826.47754952</v>
      </c>
      <c r="E36" s="125"/>
      <c r="F36" s="125"/>
      <c r="G36" s="262"/>
      <c r="H36" s="589">
        <f>+H34+H32</f>
        <v>88516166</v>
      </c>
      <c r="I36" s="125"/>
      <c r="J36" s="125"/>
      <c r="K36" s="262"/>
      <c r="L36" s="589">
        <f>+L34+L32</f>
        <v>108380902</v>
      </c>
      <c r="M36" s="125"/>
      <c r="N36" s="125"/>
      <c r="O36" s="597"/>
      <c r="P36" s="589">
        <f>+L36-H36</f>
        <v>19864736</v>
      </c>
      <c r="Q36" s="125"/>
      <c r="R36" s="583">
        <f>+P36/H36</f>
        <v>0.22441929985986966</v>
      </c>
      <c r="S36" s="243"/>
      <c r="T36" s="243"/>
      <c r="U36" s="340" t="s">
        <v>664</v>
      </c>
      <c r="V36" s="596">
        <v>3011136</v>
      </c>
      <c r="W36" s="496">
        <v>0</v>
      </c>
      <c r="X36" s="496">
        <v>0</v>
      </c>
      <c r="Y36" s="596">
        <f t="shared" si="3"/>
        <v>3011136</v>
      </c>
    </row>
    <row r="37" spans="2:25" ht="13.5" thickTop="1" x14ac:dyDescent="0.2">
      <c r="B37" s="292"/>
      <c r="C37" s="340"/>
      <c r="D37" s="340"/>
      <c r="E37" s="340"/>
      <c r="F37" s="340"/>
      <c r="G37" s="243"/>
      <c r="H37" s="243"/>
      <c r="I37" s="243"/>
      <c r="J37" s="243"/>
      <c r="K37" s="243"/>
      <c r="L37" s="340"/>
      <c r="M37" s="340"/>
      <c r="N37" s="340"/>
      <c r="O37" s="340"/>
      <c r="P37" s="340"/>
      <c r="Q37" s="340"/>
      <c r="R37" s="340"/>
      <c r="S37" s="243"/>
      <c r="T37" s="243"/>
      <c r="U37" s="340" t="s">
        <v>665</v>
      </c>
      <c r="V37" s="596">
        <v>4425580</v>
      </c>
      <c r="W37" s="496">
        <v>23597</v>
      </c>
      <c r="X37" s="496">
        <v>0</v>
      </c>
      <c r="Y37" s="596">
        <f t="shared" si="3"/>
        <v>4449177</v>
      </c>
    </row>
    <row r="38" spans="2:25" ht="15" x14ac:dyDescent="0.2">
      <c r="B38" s="413" t="s">
        <v>609</v>
      </c>
      <c r="C38" s="340"/>
      <c r="D38" s="340"/>
      <c r="E38" s="340"/>
      <c r="F38" s="340"/>
      <c r="S38" s="243"/>
      <c r="T38" s="243"/>
      <c r="U38" s="340" t="s">
        <v>666</v>
      </c>
      <c r="V38" s="596">
        <v>60281</v>
      </c>
      <c r="W38" s="496">
        <v>0</v>
      </c>
      <c r="X38" s="496">
        <v>0</v>
      </c>
      <c r="Y38" s="596">
        <f t="shared" si="3"/>
        <v>60281</v>
      </c>
    </row>
    <row r="39" spans="2:25" ht="15" x14ac:dyDescent="0.2">
      <c r="B39" s="16"/>
      <c r="C39" s="16"/>
      <c r="D39" s="117"/>
      <c r="E39" s="340"/>
      <c r="F39" s="340"/>
      <c r="L39" s="441"/>
      <c r="S39" s="243"/>
      <c r="T39" s="243"/>
      <c r="U39" s="629"/>
      <c r="V39" s="596"/>
      <c r="W39" s="496">
        <v>0</v>
      </c>
      <c r="X39" s="496">
        <v>0</v>
      </c>
      <c r="Y39" s="596">
        <f t="shared" si="3"/>
        <v>0</v>
      </c>
    </row>
    <row r="40" spans="2:25" ht="15" x14ac:dyDescent="0.2">
      <c r="B40" s="16"/>
      <c r="C40" s="16"/>
      <c r="D40" s="118"/>
      <c r="E40" s="340"/>
      <c r="F40" s="340"/>
      <c r="H40" s="496"/>
      <c r="L40" s="446"/>
      <c r="S40" s="243"/>
      <c r="T40" s="243"/>
      <c r="U40" s="340"/>
      <c r="V40" s="596">
        <f>SUM(V31:V39)</f>
        <v>104693429</v>
      </c>
      <c r="W40" s="496">
        <v>410433</v>
      </c>
      <c r="X40" s="496">
        <v>242485</v>
      </c>
      <c r="Y40" s="596">
        <f t="shared" si="3"/>
        <v>105346347</v>
      </c>
    </row>
    <row r="41" spans="2:25" x14ac:dyDescent="0.2">
      <c r="D41" s="92"/>
      <c r="H41" s="496"/>
      <c r="L41" s="658"/>
      <c r="P41" s="92"/>
      <c r="S41" s="243"/>
      <c r="T41" s="243"/>
      <c r="U41" s="340"/>
      <c r="V41" s="340"/>
      <c r="W41" s="340"/>
    </row>
    <row r="42" spans="2:25" x14ac:dyDescent="0.2">
      <c r="D42" s="92"/>
      <c r="H42" s="181"/>
      <c r="L42" s="658"/>
    </row>
    <row r="43" spans="2:25" x14ac:dyDescent="0.2">
      <c r="L43" s="441"/>
    </row>
    <row r="44" spans="2:25" x14ac:dyDescent="0.2">
      <c r="L44" s="242"/>
    </row>
    <row r="45" spans="2:25" x14ac:dyDescent="0.2">
      <c r="L45" s="446"/>
    </row>
    <row r="46" spans="2:25" x14ac:dyDescent="0.2">
      <c r="L46" s="659"/>
    </row>
    <row r="47" spans="2:25" x14ac:dyDescent="0.2">
      <c r="D47" s="596"/>
      <c r="L47" s="449"/>
    </row>
    <row r="48" spans="2:25" x14ac:dyDescent="0.2">
      <c r="D48" s="596"/>
      <c r="H48" s="67"/>
      <c r="L48" s="662"/>
    </row>
    <row r="49" spans="4:12" x14ac:dyDescent="0.2">
      <c r="H49" s="67"/>
      <c r="L49" s="67"/>
    </row>
    <row r="50" spans="4:12" x14ac:dyDescent="0.2">
      <c r="H50" s="67"/>
      <c r="L50" s="67"/>
    </row>
    <row r="51" spans="4:12" x14ac:dyDescent="0.2">
      <c r="H51" s="67"/>
      <c r="L51" s="236"/>
    </row>
    <row r="52" spans="4:12" x14ac:dyDescent="0.2">
      <c r="D52" s="180"/>
      <c r="H52" s="67"/>
      <c r="L52" s="67"/>
    </row>
    <row r="53" spans="4:12" x14ac:dyDescent="0.2">
      <c r="H53" s="67"/>
      <c r="L53" s="67"/>
    </row>
    <row r="54" spans="4:12" x14ac:dyDescent="0.2">
      <c r="H54" s="67"/>
      <c r="L54" s="67"/>
    </row>
    <row r="55" spans="4:12" x14ac:dyDescent="0.2">
      <c r="H55" s="67"/>
      <c r="L55" s="67"/>
    </row>
  </sheetData>
  <mergeCells count="8">
    <mergeCell ref="H14:J14"/>
    <mergeCell ref="L14:N14"/>
    <mergeCell ref="B6:R6"/>
    <mergeCell ref="B9:R9"/>
    <mergeCell ref="B10:R10"/>
    <mergeCell ref="D13:F13"/>
    <mergeCell ref="P13:R13"/>
    <mergeCell ref="B7:R7"/>
  </mergeCells>
  <phoneticPr fontId="13" type="noConversion"/>
  <pageMargins left="0.75" right="0.75" top="1" bottom="1" header="0.5" footer="0.5"/>
  <pageSetup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AX147"/>
  <sheetViews>
    <sheetView workbookViewId="0">
      <selection sqref="A1:F1"/>
    </sheetView>
  </sheetViews>
  <sheetFormatPr defaultColWidth="9.77734375" defaultRowHeight="15" x14ac:dyDescent="0.2"/>
  <cols>
    <col min="1" max="1" width="11.21875" style="39" customWidth="1"/>
    <col min="2" max="2" width="10.33203125" style="39" customWidth="1"/>
    <col min="3" max="3" width="13.33203125" style="39" customWidth="1"/>
    <col min="4" max="4" width="10.6640625" style="39" customWidth="1"/>
    <col min="5" max="5" width="14.109375" style="39" customWidth="1"/>
    <col min="6" max="6" width="10.6640625" style="39" customWidth="1"/>
    <col min="7" max="8" width="9.77734375" style="39" customWidth="1"/>
    <col min="9" max="9" width="5.77734375" style="39" customWidth="1"/>
    <col min="10" max="10" width="8.6640625" style="39" customWidth="1"/>
    <col min="11" max="11" width="7.77734375" style="39" customWidth="1"/>
    <col min="12" max="12" width="1.77734375" style="39" customWidth="1"/>
    <col min="13" max="13" width="7.77734375" style="39" customWidth="1"/>
    <col min="14" max="14" width="1.77734375" style="39" customWidth="1"/>
    <col min="15" max="15" width="7.77734375" style="39" customWidth="1"/>
    <col min="16" max="16" width="1.77734375" style="39" customWidth="1"/>
    <col min="17" max="17" width="7.77734375" style="39" customWidth="1"/>
    <col min="18" max="18" width="1.77734375" style="39" customWidth="1"/>
    <col min="19" max="19" width="7.77734375" style="39" customWidth="1"/>
    <col min="20" max="20" width="1.77734375" style="39" customWidth="1"/>
    <col min="21" max="21" width="7.77734375" style="39" customWidth="1"/>
    <col min="22" max="22" width="1.77734375" style="39" customWidth="1"/>
    <col min="23" max="23" width="8.77734375" style="39" customWidth="1"/>
    <col min="24" max="24" width="1.77734375" style="39" customWidth="1"/>
    <col min="25" max="25" width="7.77734375" style="39" customWidth="1"/>
    <col min="26" max="26" width="1.77734375" style="39" customWidth="1"/>
    <col min="27" max="27" width="8.77734375" style="39" customWidth="1"/>
    <col min="28" max="28" width="1.77734375" style="39" customWidth="1"/>
    <col min="29" max="29" width="7.77734375" style="39" customWidth="1"/>
    <col min="30" max="30" width="1.77734375" style="39" customWidth="1"/>
    <col min="31" max="31" width="9.77734375" style="39" customWidth="1"/>
    <col min="32" max="32" width="1.77734375" style="39" customWidth="1"/>
    <col min="33" max="33" width="7.77734375" style="39" customWidth="1"/>
    <col min="34" max="34" width="1.77734375" style="39" customWidth="1"/>
    <col min="35" max="35" width="9.77734375" style="39" customWidth="1"/>
    <col min="36" max="36" width="1.77734375" style="39" customWidth="1"/>
    <col min="37" max="37" width="7.77734375" style="39" customWidth="1"/>
    <col min="38" max="38" width="1.77734375" style="39" customWidth="1"/>
    <col min="39" max="39" width="7.77734375" style="39" customWidth="1"/>
    <col min="40" max="41" width="9.77734375" style="39" customWidth="1"/>
    <col min="42" max="42" width="6.77734375" style="39" customWidth="1"/>
    <col min="43" max="43" width="4.77734375" style="39" customWidth="1"/>
    <col min="44" max="44" width="9.77734375" style="39" customWidth="1"/>
    <col min="45" max="45" width="4.77734375" style="39" customWidth="1"/>
    <col min="46" max="46" width="9.77734375" style="39" customWidth="1"/>
    <col min="47" max="47" width="4.77734375" style="39" customWidth="1"/>
    <col min="48" max="48" width="9.77734375" style="39" customWidth="1"/>
    <col min="49" max="49" width="4.77734375" style="39" customWidth="1"/>
    <col min="50" max="50" width="8.77734375" style="39" customWidth="1"/>
    <col min="51" max="16384" width="9.77734375" style="39"/>
  </cols>
  <sheetData>
    <row r="1" spans="1:6" x14ac:dyDescent="0.2">
      <c r="A1" s="726" t="s">
        <v>7</v>
      </c>
      <c r="B1" s="726"/>
      <c r="C1" s="726"/>
      <c r="D1" s="726"/>
      <c r="E1" s="726"/>
      <c r="F1" s="726"/>
    </row>
    <row r="2" spans="1:6" x14ac:dyDescent="0.2">
      <c r="A2" s="38"/>
      <c r="B2" s="38"/>
      <c r="C2" s="38"/>
      <c r="D2" s="38"/>
      <c r="E2" s="38"/>
      <c r="F2" s="38"/>
    </row>
    <row r="3" spans="1:6" x14ac:dyDescent="0.2">
      <c r="A3" s="724" t="s">
        <v>170</v>
      </c>
      <c r="B3" s="725"/>
      <c r="C3" s="724"/>
      <c r="D3" s="724"/>
      <c r="E3" s="724"/>
      <c r="F3" s="724"/>
    </row>
    <row r="4" spans="1:6" x14ac:dyDescent="0.2">
      <c r="A4" s="308"/>
      <c r="B4" s="308"/>
      <c r="C4" s="308"/>
      <c r="D4" s="308"/>
      <c r="E4" s="308"/>
      <c r="F4" s="308"/>
    </row>
    <row r="5" spans="1:6" x14ac:dyDescent="0.2">
      <c r="A5" s="308" t="s">
        <v>99</v>
      </c>
      <c r="B5" s="308"/>
      <c r="C5" s="308"/>
      <c r="D5" s="308"/>
      <c r="E5" s="308"/>
      <c r="F5" s="308"/>
    </row>
    <row r="6" spans="1:6" x14ac:dyDescent="0.2">
      <c r="A6" s="308"/>
      <c r="B6" s="308"/>
      <c r="C6" s="308"/>
      <c r="D6" s="308"/>
      <c r="E6" s="308"/>
      <c r="F6" s="308"/>
    </row>
    <row r="7" spans="1:6" x14ac:dyDescent="0.2">
      <c r="A7" s="308" t="s">
        <v>119</v>
      </c>
      <c r="B7" s="308"/>
      <c r="C7" s="308"/>
      <c r="D7" s="308"/>
      <c r="E7" s="308"/>
      <c r="F7" s="308"/>
    </row>
    <row r="8" spans="1:6" x14ac:dyDescent="0.2">
      <c r="A8" s="308"/>
      <c r="B8" s="308"/>
      <c r="C8" s="308"/>
      <c r="D8" s="308"/>
      <c r="E8" s="308"/>
      <c r="F8" s="308"/>
    </row>
    <row r="9" spans="1:6" x14ac:dyDescent="0.2">
      <c r="A9" s="310" t="s">
        <v>138</v>
      </c>
      <c r="B9" s="310"/>
      <c r="C9" s="308"/>
      <c r="D9" s="539"/>
      <c r="E9" s="540"/>
      <c r="F9" s="540" t="s">
        <v>140</v>
      </c>
    </row>
    <row r="10" spans="1:6" x14ac:dyDescent="0.2">
      <c r="A10" s="310" t="s">
        <v>141</v>
      </c>
      <c r="B10" s="310"/>
      <c r="C10" s="308"/>
      <c r="D10" s="539"/>
      <c r="E10" s="540"/>
      <c r="F10" s="540" t="s">
        <v>142</v>
      </c>
    </row>
    <row r="11" spans="1:6" x14ac:dyDescent="0.2">
      <c r="A11" s="312" t="s">
        <v>143</v>
      </c>
      <c r="B11" s="312"/>
      <c r="C11" s="308"/>
      <c r="D11" s="539"/>
      <c r="E11" s="540"/>
      <c r="F11" s="313" t="s">
        <v>145</v>
      </c>
    </row>
    <row r="12" spans="1:6" ht="12.75" customHeight="1" x14ac:dyDescent="0.2">
      <c r="A12" s="308"/>
      <c r="B12" s="314"/>
      <c r="C12" s="308"/>
      <c r="D12" s="539"/>
      <c r="E12" s="308"/>
      <c r="F12" s="308"/>
    </row>
    <row r="13" spans="1:6" x14ac:dyDescent="0.2">
      <c r="A13" s="308" t="s">
        <v>153</v>
      </c>
      <c r="B13" s="314"/>
      <c r="C13" s="308"/>
      <c r="D13" s="539"/>
      <c r="E13" s="308"/>
      <c r="F13" s="315">
        <v>1</v>
      </c>
    </row>
    <row r="14" spans="1:6" x14ac:dyDescent="0.2">
      <c r="A14" s="308"/>
      <c r="B14" s="308"/>
      <c r="C14" s="308"/>
      <c r="D14" s="539"/>
      <c r="E14" s="308"/>
      <c r="F14" s="571"/>
    </row>
    <row r="15" spans="1:6" ht="15.75" thickBot="1" x14ac:dyDescent="0.25">
      <c r="A15" s="308" t="s">
        <v>256</v>
      </c>
      <c r="B15" s="308"/>
      <c r="C15" s="308"/>
      <c r="D15" s="539"/>
      <c r="E15" s="308"/>
      <c r="F15" s="315">
        <f>SUM(F13:F13)</f>
        <v>1</v>
      </c>
    </row>
    <row r="16" spans="1:6" ht="15.75" thickTop="1" x14ac:dyDescent="0.2">
      <c r="A16" s="308"/>
      <c r="B16" s="308"/>
      <c r="C16" s="308"/>
      <c r="D16" s="539"/>
      <c r="E16" s="308"/>
      <c r="F16" s="336"/>
    </row>
    <row r="17" spans="1:10" x14ac:dyDescent="0.2">
      <c r="A17" s="308"/>
      <c r="B17" s="308"/>
      <c r="C17" s="308"/>
      <c r="D17" s="308"/>
      <c r="E17" s="308"/>
      <c r="F17" s="308"/>
    </row>
    <row r="18" spans="1:10" x14ac:dyDescent="0.2">
      <c r="A18" s="308"/>
      <c r="B18" s="308"/>
      <c r="C18" s="308"/>
      <c r="D18" s="308"/>
      <c r="E18" s="308"/>
      <c r="F18" s="308"/>
    </row>
    <row r="19" spans="1:10" x14ac:dyDescent="0.2">
      <c r="A19" s="308" t="s">
        <v>257</v>
      </c>
      <c r="B19" s="308"/>
      <c r="C19" s="308"/>
      <c r="D19" s="308"/>
      <c r="E19" s="308"/>
      <c r="F19" s="308"/>
    </row>
    <row r="20" spans="1:10" x14ac:dyDescent="0.2">
      <c r="A20" s="308"/>
      <c r="B20" s="308"/>
      <c r="C20" s="308"/>
      <c r="D20" s="308"/>
      <c r="E20" s="308"/>
      <c r="F20" s="308"/>
    </row>
    <row r="21" spans="1:10" ht="28.15" customHeight="1" x14ac:dyDescent="0.2">
      <c r="A21" s="723" t="s">
        <v>258</v>
      </c>
      <c r="B21" s="723"/>
      <c r="C21" s="723"/>
      <c r="D21" s="723"/>
      <c r="E21" s="723"/>
      <c r="F21" s="723"/>
    </row>
    <row r="22" spans="1:10" x14ac:dyDescent="0.2">
      <c r="A22" s="308"/>
      <c r="B22" s="308"/>
      <c r="C22" s="308"/>
      <c r="D22" s="308"/>
      <c r="E22" s="308"/>
      <c r="F22" s="308"/>
    </row>
    <row r="23" spans="1:10" x14ac:dyDescent="0.2">
      <c r="A23" s="310" t="s">
        <v>138</v>
      </c>
      <c r="B23" s="310"/>
      <c r="C23" s="308"/>
      <c r="D23" s="540" t="s">
        <v>259</v>
      </c>
      <c r="E23" s="540"/>
      <c r="F23" s="540" t="s">
        <v>140</v>
      </c>
    </row>
    <row r="24" spans="1:10" x14ac:dyDescent="0.2">
      <c r="A24" s="310" t="s">
        <v>141</v>
      </c>
      <c r="B24" s="310"/>
      <c r="C24" s="308"/>
      <c r="D24" s="540" t="s">
        <v>260</v>
      </c>
      <c r="E24" s="540"/>
      <c r="F24" s="540" t="s">
        <v>142</v>
      </c>
    </row>
    <row r="25" spans="1:10" x14ac:dyDescent="0.2">
      <c r="A25" s="312" t="s">
        <v>143</v>
      </c>
      <c r="B25" s="312"/>
      <c r="C25" s="308"/>
      <c r="D25" s="313" t="s">
        <v>163</v>
      </c>
      <c r="E25" s="540" t="s">
        <v>261</v>
      </c>
      <c r="F25" s="313" t="s">
        <v>145</v>
      </c>
    </row>
    <row r="26" spans="1:10" ht="12.75" customHeight="1" x14ac:dyDescent="0.2">
      <c r="A26" s="308"/>
      <c r="B26" s="314"/>
      <c r="C26" s="308"/>
      <c r="D26" s="308"/>
      <c r="E26" s="308"/>
      <c r="F26" s="315"/>
      <c r="H26" s="174"/>
      <c r="I26" s="174"/>
      <c r="J26" s="174"/>
    </row>
    <row r="27" spans="1:10" x14ac:dyDescent="0.2">
      <c r="A27" s="308" t="s">
        <v>146</v>
      </c>
      <c r="B27" s="314"/>
      <c r="C27" s="308"/>
      <c r="D27" s="317">
        <f>+'Meters &amp; Services'!H21</f>
        <v>123657</v>
      </c>
      <c r="E27" s="308"/>
      <c r="F27" s="315">
        <f>ROUND(+D27/D$34,4)</f>
        <v>0.83020000000000005</v>
      </c>
      <c r="H27" s="175"/>
      <c r="I27" s="174"/>
      <c r="J27" s="173"/>
    </row>
    <row r="28" spans="1:10" x14ac:dyDescent="0.2">
      <c r="A28" s="308" t="s">
        <v>147</v>
      </c>
      <c r="B28" s="314"/>
      <c r="C28" s="308"/>
      <c r="D28" s="317">
        <f>+'Meters &amp; Services'!L21</f>
        <v>19000</v>
      </c>
      <c r="E28" s="308"/>
      <c r="F28" s="315">
        <f t="shared" ref="F28:F32" si="0">ROUND(+D28/D$34,4)</f>
        <v>0.12759999999999999</v>
      </c>
      <c r="H28" s="175"/>
      <c r="I28" s="174"/>
      <c r="J28" s="176"/>
    </row>
    <row r="29" spans="1:10" x14ac:dyDescent="0.2">
      <c r="A29" s="308" t="s">
        <v>148</v>
      </c>
      <c r="B29" s="314"/>
      <c r="C29" s="308"/>
      <c r="D29" s="317">
        <f>+'Meters &amp; Services'!P21</f>
        <v>577</v>
      </c>
      <c r="E29" s="308"/>
      <c r="F29" s="315">
        <f t="shared" si="0"/>
        <v>3.8999999999999998E-3</v>
      </c>
      <c r="H29" s="175"/>
      <c r="I29" s="174"/>
      <c r="J29" s="176"/>
    </row>
    <row r="30" spans="1:10" x14ac:dyDescent="0.2">
      <c r="A30" s="308" t="s">
        <v>150</v>
      </c>
      <c r="B30" s="314"/>
      <c r="C30" s="308"/>
      <c r="D30" s="317">
        <f>+'Meters &amp; Services'!T21</f>
        <v>3581</v>
      </c>
      <c r="E30" s="308"/>
      <c r="F30" s="315">
        <f t="shared" si="0"/>
        <v>2.4E-2</v>
      </c>
      <c r="H30" s="175"/>
      <c r="I30" s="174"/>
      <c r="J30" s="176"/>
    </row>
    <row r="31" spans="1:10" x14ac:dyDescent="0.2">
      <c r="A31" s="308" t="s">
        <v>267</v>
      </c>
      <c r="B31" s="314"/>
      <c r="C31" s="308"/>
      <c r="D31" s="317">
        <f>+'Meters &amp; Services'!X21</f>
        <v>271</v>
      </c>
      <c r="E31" s="308"/>
      <c r="F31" s="315">
        <f t="shared" si="0"/>
        <v>1.8E-3</v>
      </c>
      <c r="H31" s="174"/>
      <c r="I31" s="174"/>
      <c r="J31" s="176"/>
    </row>
    <row r="32" spans="1:10" x14ac:dyDescent="0.2">
      <c r="A32" s="308" t="s">
        <v>92</v>
      </c>
      <c r="B32" s="314"/>
      <c r="C32" s="308"/>
      <c r="D32" s="317">
        <f>+'Meters &amp; Services'!AB21</f>
        <v>1862</v>
      </c>
      <c r="E32" s="308"/>
      <c r="F32" s="315">
        <f t="shared" si="0"/>
        <v>1.2500000000000001E-2</v>
      </c>
      <c r="H32" s="174"/>
      <c r="I32" s="174"/>
      <c r="J32" s="176"/>
    </row>
    <row r="33" spans="1:50" x14ac:dyDescent="0.2">
      <c r="A33" s="308"/>
      <c r="B33" s="314"/>
      <c r="C33" s="308"/>
      <c r="D33" s="572"/>
      <c r="E33" s="308"/>
      <c r="F33" s="573"/>
      <c r="H33" s="174"/>
      <c r="I33" s="174"/>
      <c r="J33" s="79"/>
    </row>
    <row r="34" spans="1:50" ht="15.75" thickBot="1" x14ac:dyDescent="0.25">
      <c r="A34" s="308" t="s">
        <v>154</v>
      </c>
      <c r="B34" s="314"/>
      <c r="C34" s="308"/>
      <c r="D34" s="317">
        <f>SUM(D27:D33)</f>
        <v>148948</v>
      </c>
      <c r="E34" s="308"/>
      <c r="F34" s="320">
        <f>SUM(F27:F33)</f>
        <v>1</v>
      </c>
      <c r="H34" s="177"/>
      <c r="I34" s="174"/>
      <c r="J34" s="176"/>
    </row>
    <row r="35" spans="1:50" ht="15.75" thickTop="1" x14ac:dyDescent="0.2">
      <c r="A35" s="308"/>
      <c r="B35" s="308"/>
      <c r="C35" s="308"/>
      <c r="D35" s="337"/>
      <c r="E35" s="338"/>
      <c r="F35" s="319"/>
      <c r="H35" s="174"/>
      <c r="I35" s="174"/>
      <c r="J35" s="174"/>
    </row>
    <row r="36" spans="1:50" x14ac:dyDescent="0.2">
      <c r="A36" s="15" t="s">
        <v>7</v>
      </c>
      <c r="B36" s="310"/>
      <c r="C36" s="310"/>
      <c r="D36" s="310"/>
      <c r="E36" s="310"/>
      <c r="F36" s="310"/>
      <c r="G36" s="43"/>
      <c r="H36" s="178"/>
      <c r="I36" s="178"/>
      <c r="J36" s="178"/>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row>
    <row r="37" spans="1:50" x14ac:dyDescent="0.2">
      <c r="A37" s="310"/>
      <c r="B37" s="310"/>
      <c r="C37" s="310"/>
      <c r="D37" s="310"/>
      <c r="E37" s="310"/>
      <c r="F37" s="310"/>
    </row>
    <row r="38" spans="1:50" x14ac:dyDescent="0.2">
      <c r="A38" s="724" t="s">
        <v>170</v>
      </c>
      <c r="B38" s="724"/>
      <c r="C38" s="724"/>
      <c r="D38" s="724"/>
      <c r="E38" s="724"/>
      <c r="F38" s="724"/>
    </row>
    <row r="39" spans="1:50" x14ac:dyDescent="0.2">
      <c r="A39" s="308"/>
      <c r="B39" s="308"/>
      <c r="C39" s="308"/>
      <c r="D39" s="308"/>
      <c r="E39" s="308"/>
      <c r="F39" s="308"/>
    </row>
    <row r="40" spans="1:50" x14ac:dyDescent="0.2">
      <c r="A40" s="308" t="s">
        <v>262</v>
      </c>
      <c r="B40" s="308"/>
      <c r="C40" s="308"/>
      <c r="D40" s="308"/>
      <c r="E40" s="308"/>
      <c r="F40" s="308"/>
    </row>
    <row r="41" spans="1:50" x14ac:dyDescent="0.2">
      <c r="A41" s="308"/>
      <c r="B41" s="308"/>
      <c r="C41" s="308"/>
      <c r="D41" s="308"/>
      <c r="E41" s="308"/>
      <c r="F41" s="308"/>
    </row>
    <row r="42" spans="1:50" ht="27.6" customHeight="1" x14ac:dyDescent="0.2">
      <c r="A42" s="723" t="s">
        <v>263</v>
      </c>
      <c r="B42" s="723"/>
      <c r="C42" s="723"/>
      <c r="D42" s="723"/>
      <c r="E42" s="723"/>
      <c r="F42" s="723"/>
    </row>
    <row r="43" spans="1:50" x14ac:dyDescent="0.2">
      <c r="A43" s="308"/>
      <c r="B43" s="308"/>
      <c r="C43" s="308"/>
      <c r="D43" s="308"/>
      <c r="E43" s="308"/>
      <c r="F43" s="308"/>
    </row>
    <row r="44" spans="1:50" x14ac:dyDescent="0.2">
      <c r="A44" s="310" t="s">
        <v>138</v>
      </c>
      <c r="B44" s="310"/>
      <c r="C44" s="308"/>
      <c r="D44" s="540" t="s">
        <v>264</v>
      </c>
      <c r="E44" s="540"/>
      <c r="F44" s="540" t="s">
        <v>140</v>
      </c>
    </row>
    <row r="45" spans="1:50" x14ac:dyDescent="0.2">
      <c r="A45" s="310" t="s">
        <v>141</v>
      </c>
      <c r="B45" s="310"/>
      <c r="C45" s="308"/>
      <c r="D45" s="540" t="s">
        <v>260</v>
      </c>
      <c r="E45" s="540"/>
      <c r="F45" s="540" t="s">
        <v>142</v>
      </c>
    </row>
    <row r="46" spans="1:50" x14ac:dyDescent="0.2">
      <c r="A46" s="312" t="s">
        <v>143</v>
      </c>
      <c r="B46" s="312"/>
      <c r="C46" s="308"/>
      <c r="D46" s="313" t="s">
        <v>163</v>
      </c>
      <c r="E46" s="540" t="s">
        <v>261</v>
      </c>
      <c r="F46" s="313" t="s">
        <v>145</v>
      </c>
    </row>
    <row r="47" spans="1:50" ht="12.75" customHeight="1" x14ac:dyDescent="0.2">
      <c r="A47" s="308"/>
      <c r="B47" s="314"/>
      <c r="C47" s="308"/>
      <c r="D47" s="308"/>
      <c r="E47" s="308"/>
      <c r="F47" s="315"/>
    </row>
    <row r="48" spans="1:50" x14ac:dyDescent="0.2">
      <c r="A48" s="308" t="s">
        <v>146</v>
      </c>
      <c r="B48" s="314"/>
      <c r="C48" s="308"/>
      <c r="D48" s="317">
        <f>+'Meters &amp; Services'!H53</f>
        <v>123853</v>
      </c>
      <c r="E48" s="308"/>
      <c r="F48" s="315">
        <f t="shared" ref="F48:F53" si="1">ROUND(D48/D$55,4)</f>
        <v>0.82430000000000003</v>
      </c>
    </row>
    <row r="49" spans="1:6" x14ac:dyDescent="0.2">
      <c r="A49" s="308" t="s">
        <v>147</v>
      </c>
      <c r="B49" s="314"/>
      <c r="C49" s="308"/>
      <c r="D49" s="317">
        <f>+'Meters &amp; Services'!L53</f>
        <v>16487</v>
      </c>
      <c r="E49" s="308"/>
      <c r="F49" s="315">
        <f t="shared" si="1"/>
        <v>0.10970000000000001</v>
      </c>
    </row>
    <row r="50" spans="1:6" x14ac:dyDescent="0.2">
      <c r="A50" s="308" t="s">
        <v>148</v>
      </c>
      <c r="B50" s="314"/>
      <c r="C50" s="308"/>
      <c r="D50" s="317">
        <f>+'Meters &amp; Services'!P53</f>
        <v>159</v>
      </c>
      <c r="E50" s="308"/>
      <c r="F50" s="315">
        <f t="shared" si="1"/>
        <v>1.1000000000000001E-3</v>
      </c>
    </row>
    <row r="51" spans="1:6" x14ac:dyDescent="0.2">
      <c r="A51" s="308" t="s">
        <v>150</v>
      </c>
      <c r="B51" s="314"/>
      <c r="C51" s="308"/>
      <c r="D51" s="317">
        <f>+'Meters &amp; Services'!T53</f>
        <v>2082</v>
      </c>
      <c r="E51" s="308"/>
      <c r="F51" s="315">
        <f t="shared" si="1"/>
        <v>1.3899999999999999E-2</v>
      </c>
    </row>
    <row r="52" spans="1:6" x14ac:dyDescent="0.2">
      <c r="A52" s="308" t="s">
        <v>267</v>
      </c>
      <c r="B52" s="314"/>
      <c r="C52" s="308"/>
      <c r="D52" s="317">
        <f>+'Meters &amp; Services'!X53</f>
        <v>61</v>
      </c>
      <c r="E52" s="308"/>
      <c r="F52" s="315">
        <f t="shared" si="1"/>
        <v>4.0000000000000002E-4</v>
      </c>
    </row>
    <row r="53" spans="1:6" x14ac:dyDescent="0.2">
      <c r="A53" s="308" t="s">
        <v>152</v>
      </c>
      <c r="B53" s="314"/>
      <c r="C53" s="308"/>
      <c r="D53" s="317">
        <f>+'Meters &amp; Services'!AB53</f>
        <v>7607</v>
      </c>
      <c r="E53" s="308"/>
      <c r="F53" s="315">
        <f t="shared" si="1"/>
        <v>5.0599999999999999E-2</v>
      </c>
    </row>
    <row r="54" spans="1:6" x14ac:dyDescent="0.2">
      <c r="A54" s="308"/>
      <c r="B54" s="314"/>
      <c r="C54" s="308"/>
      <c r="D54" s="572"/>
      <c r="E54" s="308"/>
      <c r="F54" s="573"/>
    </row>
    <row r="55" spans="1:6" ht="15.75" thickBot="1" x14ac:dyDescent="0.25">
      <c r="A55" s="308" t="s">
        <v>154</v>
      </c>
      <c r="B55" s="314"/>
      <c r="C55" s="308"/>
      <c r="D55" s="317">
        <f>SUM(D48:D54)</f>
        <v>150249</v>
      </c>
      <c r="E55" s="308"/>
      <c r="F55" s="320">
        <f>SUM(F48:F54)</f>
        <v>1</v>
      </c>
    </row>
    <row r="56" spans="1:6" ht="15.75" thickTop="1" x14ac:dyDescent="0.2">
      <c r="A56" s="308"/>
      <c r="B56" s="308"/>
      <c r="C56" s="308"/>
      <c r="D56" s="337"/>
      <c r="E56" s="338"/>
      <c r="F56" s="339"/>
    </row>
    <row r="57" spans="1:6" x14ac:dyDescent="0.2">
      <c r="A57" s="308"/>
      <c r="B57" s="308"/>
      <c r="C57" s="308"/>
      <c r="D57" s="308"/>
      <c r="E57" s="308"/>
      <c r="F57" s="308"/>
    </row>
    <row r="58" spans="1:6" x14ac:dyDescent="0.2">
      <c r="A58" s="308"/>
      <c r="B58" s="308"/>
      <c r="C58" s="308"/>
      <c r="D58" s="308"/>
      <c r="E58" s="308"/>
      <c r="F58" s="308"/>
    </row>
    <row r="59" spans="1:6" x14ac:dyDescent="0.2">
      <c r="A59" s="308"/>
      <c r="B59" s="308"/>
      <c r="C59" s="308"/>
      <c r="D59" s="308"/>
      <c r="E59" s="308"/>
      <c r="F59" s="308"/>
    </row>
    <row r="60" spans="1:6" x14ac:dyDescent="0.2">
      <c r="A60" s="308"/>
      <c r="B60" s="308"/>
      <c r="C60" s="308"/>
      <c r="D60" s="308"/>
      <c r="E60" s="308"/>
      <c r="F60" s="308"/>
    </row>
    <row r="61" spans="1:6" x14ac:dyDescent="0.2">
      <c r="A61" s="308"/>
      <c r="B61" s="308"/>
      <c r="C61" s="308"/>
      <c r="D61" s="308"/>
      <c r="E61" s="308"/>
      <c r="F61" s="308"/>
    </row>
    <row r="62" spans="1:6" x14ac:dyDescent="0.2">
      <c r="A62" s="308"/>
      <c r="B62" s="308"/>
      <c r="C62" s="308"/>
      <c r="D62" s="308"/>
      <c r="E62" s="308"/>
      <c r="F62" s="308"/>
    </row>
    <row r="63" spans="1:6" x14ac:dyDescent="0.2">
      <c r="A63" s="308"/>
      <c r="B63" s="308"/>
      <c r="C63" s="308"/>
      <c r="D63" s="308"/>
      <c r="E63" s="308"/>
      <c r="F63" s="308"/>
    </row>
    <row r="64" spans="1:6" x14ac:dyDescent="0.2">
      <c r="A64" s="308"/>
      <c r="B64" s="308"/>
      <c r="C64" s="308"/>
      <c r="D64" s="308"/>
      <c r="E64" s="308"/>
      <c r="F64" s="308"/>
    </row>
    <row r="65" spans="1:50" x14ac:dyDescent="0.2">
      <c r="A65" s="308"/>
      <c r="B65" s="308"/>
      <c r="C65" s="308"/>
      <c r="D65" s="308"/>
      <c r="E65" s="308"/>
      <c r="F65" s="308"/>
    </row>
    <row r="66" spans="1:50" x14ac:dyDescent="0.2">
      <c r="A66" s="314"/>
      <c r="B66" s="314"/>
      <c r="C66" s="314"/>
      <c r="D66" s="314"/>
      <c r="E66" s="314"/>
      <c r="F66" s="314"/>
    </row>
    <row r="67" spans="1:50" x14ac:dyDescent="0.2">
      <c r="A67" s="314"/>
      <c r="B67" s="314"/>
      <c r="C67" s="314"/>
      <c r="D67" s="314"/>
      <c r="E67" s="314"/>
      <c r="F67" s="314"/>
    </row>
    <row r="68" spans="1:50" x14ac:dyDescent="0.2">
      <c r="A68" s="314"/>
      <c r="B68" s="314"/>
      <c r="C68" s="314"/>
      <c r="D68" s="314"/>
      <c r="E68" s="314"/>
      <c r="F68" s="314"/>
    </row>
    <row r="69" spans="1:50" x14ac:dyDescent="0.2">
      <c r="A69" s="314"/>
      <c r="B69" s="314"/>
      <c r="C69" s="314"/>
      <c r="D69" s="314"/>
      <c r="E69" s="314"/>
      <c r="F69" s="314"/>
      <c r="AN69" s="40"/>
      <c r="AP69" s="37"/>
      <c r="AQ69" s="37"/>
      <c r="AR69" s="37"/>
      <c r="AS69" s="37"/>
      <c r="AT69" s="37"/>
      <c r="AU69" s="37"/>
      <c r="AV69" s="37"/>
      <c r="AW69" s="37"/>
      <c r="AX69" s="37"/>
    </row>
    <row r="70" spans="1:50" x14ac:dyDescent="0.2">
      <c r="A70" s="314"/>
      <c r="B70" s="314"/>
      <c r="C70" s="314"/>
      <c r="D70" s="314"/>
      <c r="E70" s="314"/>
      <c r="F70" s="314"/>
      <c r="AN70" s="40">
        <f>14*15</f>
        <v>210</v>
      </c>
      <c r="AP70" s="37"/>
      <c r="AQ70" s="37"/>
      <c r="AR70" s="37"/>
      <c r="AS70" s="37"/>
      <c r="AT70" s="37"/>
      <c r="AU70" s="37"/>
      <c r="AV70" s="37"/>
      <c r="AW70" s="37"/>
      <c r="AX70" s="37"/>
    </row>
    <row r="71" spans="1:50" x14ac:dyDescent="0.2">
      <c r="A71" s="314"/>
      <c r="B71" s="314"/>
      <c r="C71" s="314"/>
      <c r="D71" s="314"/>
      <c r="E71" s="314"/>
      <c r="F71" s="314"/>
      <c r="AN71" s="40"/>
      <c r="AP71" s="38"/>
      <c r="AQ71" s="37"/>
      <c r="AR71" s="37"/>
      <c r="AS71" s="37"/>
      <c r="AT71" s="37"/>
      <c r="AU71" s="37"/>
      <c r="AV71" s="37"/>
      <c r="AW71" s="37"/>
      <c r="AX71" s="37"/>
    </row>
    <row r="72" spans="1:50" x14ac:dyDescent="0.2">
      <c r="A72" s="314"/>
      <c r="B72" s="314"/>
      <c r="C72" s="314"/>
      <c r="D72" s="314"/>
      <c r="E72" s="314"/>
      <c r="F72" s="314"/>
      <c r="AN72" s="40"/>
      <c r="AP72" s="38"/>
      <c r="AQ72" s="37"/>
      <c r="AR72" s="37"/>
      <c r="AS72" s="37"/>
      <c r="AT72" s="37"/>
      <c r="AU72" s="37"/>
      <c r="AV72" s="37"/>
      <c r="AW72" s="37"/>
      <c r="AX72" s="37"/>
    </row>
    <row r="73" spans="1:50" x14ac:dyDescent="0.2">
      <c r="A73" s="314"/>
      <c r="B73" s="314"/>
      <c r="C73" s="314"/>
      <c r="D73" s="314"/>
      <c r="E73" s="314"/>
      <c r="F73" s="314"/>
      <c r="AN73" s="40"/>
    </row>
    <row r="74" spans="1:50" x14ac:dyDescent="0.2">
      <c r="A74" s="314"/>
      <c r="B74" s="314"/>
      <c r="C74" s="314"/>
      <c r="D74" s="314"/>
      <c r="E74" s="314"/>
      <c r="F74" s="314"/>
      <c r="AN74" s="40"/>
      <c r="AP74" s="40"/>
      <c r="AQ74" s="40"/>
      <c r="AR74" s="40"/>
      <c r="AS74" s="40"/>
      <c r="AT74" s="40"/>
      <c r="AU74" s="40"/>
      <c r="AV74" s="40"/>
      <c r="AW74" s="40"/>
      <c r="AX74" s="40"/>
    </row>
    <row r="75" spans="1:50" x14ac:dyDescent="0.2">
      <c r="A75" s="314"/>
      <c r="B75" s="314"/>
      <c r="C75" s="314"/>
      <c r="D75" s="314"/>
      <c r="E75" s="314"/>
      <c r="F75" s="314"/>
      <c r="AN75" s="40"/>
      <c r="AP75" s="40"/>
      <c r="AQ75" s="40"/>
      <c r="AR75" s="41"/>
      <c r="AS75" s="41"/>
      <c r="AT75" s="41"/>
      <c r="AU75" s="41"/>
      <c r="AV75" s="41"/>
      <c r="AW75" s="41"/>
      <c r="AX75" s="41"/>
    </row>
    <row r="76" spans="1:50" x14ac:dyDescent="0.2">
      <c r="A76" s="574"/>
      <c r="B76" s="574"/>
      <c r="C76" s="574"/>
      <c r="D76" s="574"/>
      <c r="E76" s="574"/>
      <c r="F76" s="574"/>
      <c r="AN76" s="40"/>
      <c r="AP76" s="41"/>
      <c r="AQ76" s="40"/>
      <c r="AR76" s="41"/>
      <c r="AS76" s="41"/>
      <c r="AT76" s="41"/>
      <c r="AU76" s="41"/>
      <c r="AV76" s="41"/>
      <c r="AW76" s="41"/>
      <c r="AX76" s="41"/>
    </row>
    <row r="77" spans="1:50" x14ac:dyDescent="0.2">
      <c r="A77" s="574"/>
      <c r="B77" s="574"/>
      <c r="C77" s="574"/>
      <c r="D77" s="574"/>
      <c r="E77" s="574"/>
      <c r="F77" s="574"/>
      <c r="AN77" s="40"/>
      <c r="AP77" s="41"/>
      <c r="AQ77" s="40"/>
      <c r="AR77" s="41"/>
      <c r="AS77" s="41"/>
      <c r="AT77" s="41"/>
      <c r="AU77" s="41"/>
      <c r="AV77" s="41"/>
      <c r="AW77" s="41"/>
      <c r="AX77" s="41"/>
    </row>
    <row r="78" spans="1:50" x14ac:dyDescent="0.2">
      <c r="A78" s="574"/>
      <c r="B78" s="574"/>
      <c r="C78" s="574"/>
      <c r="D78" s="574"/>
      <c r="E78" s="574"/>
      <c r="F78" s="574"/>
      <c r="AN78" s="40"/>
      <c r="AP78" s="44"/>
      <c r="AQ78" s="40"/>
      <c r="AR78" s="44"/>
      <c r="AS78" s="44"/>
      <c r="AT78" s="44"/>
      <c r="AU78" s="40"/>
      <c r="AV78" s="44"/>
      <c r="AW78" s="44"/>
      <c r="AX78" s="44"/>
    </row>
    <row r="79" spans="1:50" x14ac:dyDescent="0.2">
      <c r="A79" s="574"/>
      <c r="B79" s="574"/>
      <c r="C79" s="574"/>
      <c r="D79" s="574"/>
      <c r="E79" s="574"/>
      <c r="F79" s="574"/>
      <c r="AN79" s="40"/>
      <c r="AP79" s="40"/>
      <c r="AQ79" s="40"/>
      <c r="AR79" s="40"/>
      <c r="AS79" s="40"/>
      <c r="AT79" s="40"/>
      <c r="AU79" s="40"/>
      <c r="AV79" s="40"/>
      <c r="AW79" s="40"/>
      <c r="AX79" s="40"/>
    </row>
    <row r="80" spans="1:50" x14ac:dyDescent="0.2">
      <c r="A80" s="574"/>
      <c r="B80" s="574"/>
      <c r="C80" s="574"/>
      <c r="D80" s="574"/>
      <c r="E80" s="574"/>
      <c r="F80" s="574"/>
      <c r="AN80" s="40"/>
      <c r="AP80" s="41"/>
      <c r="AQ80" s="40"/>
      <c r="AR80" s="42"/>
      <c r="AS80" s="42"/>
      <c r="AT80" s="42"/>
      <c r="AU80" s="42"/>
      <c r="AV80" s="42"/>
      <c r="AW80" s="45"/>
      <c r="AX80" s="45"/>
    </row>
    <row r="81" spans="1:50" x14ac:dyDescent="0.2">
      <c r="A81" s="574"/>
      <c r="B81" s="574"/>
      <c r="C81" s="574"/>
      <c r="D81" s="574"/>
      <c r="E81" s="574"/>
      <c r="F81" s="574"/>
      <c r="AN81" s="40"/>
      <c r="AP81" s="41"/>
      <c r="AQ81" s="40"/>
      <c r="AR81" s="42"/>
      <c r="AS81" s="42"/>
      <c r="AT81" s="42"/>
      <c r="AU81" s="42"/>
      <c r="AV81" s="42"/>
      <c r="AW81" s="45"/>
      <c r="AX81" s="45"/>
    </row>
    <row r="82" spans="1:50" x14ac:dyDescent="0.2">
      <c r="A82" s="574"/>
      <c r="B82" s="574"/>
      <c r="C82" s="574"/>
      <c r="D82" s="574"/>
      <c r="E82" s="574"/>
      <c r="F82" s="574"/>
      <c r="AN82" s="40"/>
      <c r="AP82" s="41"/>
      <c r="AQ82" s="40"/>
      <c r="AR82" s="42"/>
      <c r="AS82" s="42"/>
      <c r="AT82" s="42"/>
      <c r="AU82" s="42"/>
      <c r="AV82" s="42"/>
      <c r="AW82" s="45"/>
      <c r="AX82" s="45"/>
    </row>
    <row r="83" spans="1:50" x14ac:dyDescent="0.2">
      <c r="A83" s="574"/>
      <c r="B83" s="574"/>
      <c r="C83" s="574"/>
      <c r="D83" s="574"/>
      <c r="E83" s="574"/>
      <c r="F83" s="574"/>
      <c r="AN83" s="40"/>
      <c r="AP83" s="41"/>
      <c r="AQ83" s="40"/>
      <c r="AR83" s="42"/>
      <c r="AS83" s="42"/>
      <c r="AT83" s="42"/>
      <c r="AU83" s="42"/>
      <c r="AV83" s="42"/>
      <c r="AW83" s="45"/>
      <c r="AX83" s="45"/>
    </row>
    <row r="84" spans="1:50" x14ac:dyDescent="0.2">
      <c r="A84" s="574"/>
      <c r="B84" s="574"/>
      <c r="C84" s="574"/>
      <c r="D84" s="574"/>
      <c r="E84" s="574"/>
      <c r="F84" s="574"/>
      <c r="AN84" s="40"/>
      <c r="AP84" s="41"/>
      <c r="AQ84" s="40"/>
      <c r="AR84" s="42"/>
      <c r="AS84" s="42"/>
      <c r="AT84" s="42"/>
      <c r="AU84" s="42"/>
      <c r="AV84" s="42"/>
      <c r="AW84" s="45"/>
      <c r="AX84" s="45"/>
    </row>
    <row r="85" spans="1:50" x14ac:dyDescent="0.2">
      <c r="A85" s="574"/>
      <c r="B85" s="574"/>
      <c r="C85" s="574"/>
      <c r="D85" s="574"/>
      <c r="E85" s="574"/>
      <c r="F85" s="574"/>
      <c r="AN85" s="40"/>
      <c r="AP85" s="41"/>
      <c r="AQ85" s="40"/>
      <c r="AR85" s="42"/>
      <c r="AS85" s="42"/>
      <c r="AT85" s="42"/>
      <c r="AU85" s="42"/>
      <c r="AV85" s="42"/>
      <c r="AW85" s="45"/>
      <c r="AX85" s="45"/>
    </row>
    <row r="86" spans="1:50" x14ac:dyDescent="0.2">
      <c r="A86" s="574"/>
      <c r="B86" s="574"/>
      <c r="C86" s="574"/>
      <c r="D86" s="574"/>
      <c r="E86" s="574"/>
      <c r="F86" s="574"/>
      <c r="AN86" s="40"/>
      <c r="AP86" s="41"/>
      <c r="AQ86" s="40"/>
      <c r="AR86" s="42"/>
      <c r="AS86" s="42"/>
      <c r="AT86" s="42"/>
      <c r="AU86" s="42"/>
      <c r="AV86" s="42"/>
      <c r="AW86" s="45"/>
      <c r="AX86" s="45"/>
    </row>
    <row r="87" spans="1:50" x14ac:dyDescent="0.2">
      <c r="A87" s="574"/>
      <c r="B87" s="574"/>
      <c r="C87" s="574"/>
      <c r="D87" s="574"/>
      <c r="E87" s="574"/>
      <c r="F87" s="574"/>
      <c r="AN87" s="40"/>
      <c r="AP87" s="41"/>
      <c r="AQ87" s="40"/>
      <c r="AR87" s="42"/>
      <c r="AS87" s="42"/>
      <c r="AT87" s="42"/>
      <c r="AU87" s="42"/>
      <c r="AV87" s="42"/>
      <c r="AW87" s="45"/>
      <c r="AX87" s="45"/>
    </row>
    <row r="88" spans="1:50" x14ac:dyDescent="0.2">
      <c r="A88" s="574"/>
      <c r="B88" s="574"/>
      <c r="C88" s="574"/>
      <c r="D88" s="574"/>
      <c r="E88" s="574"/>
      <c r="F88" s="574"/>
      <c r="AN88" s="40"/>
      <c r="AP88" s="41"/>
      <c r="AQ88" s="40"/>
      <c r="AR88" s="42"/>
      <c r="AS88" s="42"/>
      <c r="AT88" s="42"/>
      <c r="AU88" s="42"/>
      <c r="AV88" s="42"/>
      <c r="AW88" s="45"/>
      <c r="AX88" s="45"/>
    </row>
    <row r="89" spans="1:50" x14ac:dyDescent="0.2">
      <c r="A89" s="574"/>
      <c r="B89" s="574"/>
      <c r="C89" s="574"/>
      <c r="D89" s="574"/>
      <c r="E89" s="574"/>
      <c r="F89" s="574"/>
      <c r="AN89" s="40"/>
      <c r="AP89" s="41"/>
      <c r="AQ89" s="40"/>
      <c r="AR89" s="42"/>
      <c r="AS89" s="42"/>
      <c r="AT89" s="42"/>
      <c r="AU89" s="42"/>
      <c r="AV89" s="42"/>
      <c r="AW89" s="45"/>
      <c r="AX89" s="45"/>
    </row>
    <row r="90" spans="1:50" x14ac:dyDescent="0.2">
      <c r="A90" s="574"/>
      <c r="B90" s="574"/>
      <c r="C90" s="574"/>
      <c r="D90" s="574"/>
      <c r="E90" s="574"/>
      <c r="F90" s="574"/>
      <c r="AN90" s="40"/>
      <c r="AP90" s="41"/>
      <c r="AQ90" s="40"/>
      <c r="AR90" s="42"/>
      <c r="AS90" s="42"/>
      <c r="AT90" s="42"/>
      <c r="AU90" s="42"/>
      <c r="AV90" s="42"/>
      <c r="AW90" s="45"/>
      <c r="AX90" s="45"/>
    </row>
    <row r="91" spans="1:50" x14ac:dyDescent="0.2">
      <c r="A91" s="574"/>
      <c r="B91" s="574"/>
      <c r="C91" s="574"/>
      <c r="D91" s="574"/>
      <c r="E91" s="574"/>
      <c r="F91" s="574"/>
      <c r="AN91" s="40"/>
      <c r="AP91" s="41"/>
      <c r="AQ91" s="40"/>
      <c r="AR91" s="42"/>
      <c r="AS91" s="42"/>
      <c r="AT91" s="42"/>
      <c r="AU91" s="42"/>
      <c r="AV91" s="42"/>
      <c r="AW91" s="45"/>
      <c r="AX91" s="45"/>
    </row>
    <row r="92" spans="1:50" x14ac:dyDescent="0.2">
      <c r="A92" s="574"/>
      <c r="B92" s="574"/>
      <c r="C92" s="574"/>
      <c r="D92" s="574"/>
      <c r="E92" s="574"/>
      <c r="F92" s="574"/>
      <c r="AN92" s="40"/>
      <c r="AP92" s="41"/>
      <c r="AQ92" s="40"/>
      <c r="AR92" s="42"/>
      <c r="AS92" s="42"/>
      <c r="AT92" s="42"/>
      <c r="AU92" s="42"/>
      <c r="AV92" s="42"/>
      <c r="AW92" s="45"/>
      <c r="AX92" s="45"/>
    </row>
    <row r="93" spans="1:50" x14ac:dyDescent="0.2">
      <c r="A93" s="574"/>
      <c r="B93" s="574"/>
      <c r="C93" s="574"/>
      <c r="D93" s="574"/>
      <c r="E93" s="574"/>
      <c r="F93" s="574"/>
      <c r="AN93" s="40"/>
      <c r="AP93" s="41"/>
      <c r="AQ93" s="40"/>
      <c r="AR93" s="42"/>
      <c r="AS93" s="42"/>
      <c r="AT93" s="42"/>
      <c r="AU93" s="42"/>
      <c r="AV93" s="42"/>
      <c r="AW93" s="45"/>
      <c r="AX93" s="45"/>
    </row>
    <row r="94" spans="1:50" x14ac:dyDescent="0.2">
      <c r="A94" s="574"/>
      <c r="B94" s="574"/>
      <c r="C94" s="574"/>
      <c r="D94" s="574"/>
      <c r="E94" s="574"/>
      <c r="F94" s="574"/>
      <c r="AN94" s="40"/>
      <c r="AP94" s="41"/>
      <c r="AQ94" s="40"/>
      <c r="AR94" s="42"/>
      <c r="AS94" s="42"/>
      <c r="AT94" s="42"/>
      <c r="AU94" s="42"/>
      <c r="AV94" s="42"/>
      <c r="AW94" s="45"/>
      <c r="AX94" s="45"/>
    </row>
    <row r="95" spans="1:50" x14ac:dyDescent="0.2">
      <c r="A95" s="574"/>
      <c r="B95" s="574"/>
      <c r="C95" s="574"/>
      <c r="D95" s="574"/>
      <c r="E95" s="574"/>
      <c r="F95" s="574"/>
      <c r="AN95" s="40"/>
      <c r="AP95" s="41"/>
    </row>
    <row r="96" spans="1:50" x14ac:dyDescent="0.2">
      <c r="A96" s="574"/>
      <c r="B96" s="574"/>
      <c r="C96" s="574"/>
      <c r="D96" s="574"/>
      <c r="E96" s="574"/>
      <c r="F96" s="574"/>
      <c r="AN96" s="40"/>
      <c r="AP96" s="41"/>
      <c r="AR96" s="42"/>
      <c r="AT96" s="42"/>
      <c r="AV96" s="42"/>
      <c r="AX96" s="45"/>
    </row>
    <row r="97" spans="1:50" x14ac:dyDescent="0.2">
      <c r="A97" s="574"/>
      <c r="B97" s="574"/>
      <c r="C97" s="574"/>
      <c r="D97" s="574"/>
      <c r="E97" s="574"/>
      <c r="F97" s="574"/>
      <c r="AN97" s="40"/>
      <c r="AP97" s="41"/>
      <c r="AR97" s="42"/>
      <c r="AT97" s="42"/>
      <c r="AV97" s="42"/>
      <c r="AX97" s="45"/>
    </row>
    <row r="98" spans="1:50" x14ac:dyDescent="0.2">
      <c r="A98" s="574"/>
      <c r="B98" s="574"/>
      <c r="C98" s="574"/>
      <c r="D98" s="574"/>
      <c r="E98" s="574"/>
      <c r="F98" s="574"/>
      <c r="AN98" s="40"/>
      <c r="AP98" s="41"/>
      <c r="AR98" s="42"/>
      <c r="AT98" s="42"/>
      <c r="AV98" s="42"/>
      <c r="AX98" s="45"/>
    </row>
    <row r="99" spans="1:50" x14ac:dyDescent="0.2">
      <c r="A99" s="574"/>
      <c r="B99" s="574"/>
      <c r="C99" s="574"/>
      <c r="D99" s="574"/>
      <c r="E99" s="574"/>
      <c r="F99" s="574"/>
      <c r="AN99" s="40"/>
      <c r="AP99" s="41"/>
      <c r="AR99" s="42"/>
      <c r="AT99" s="42"/>
      <c r="AV99" s="42"/>
      <c r="AX99" s="45"/>
    </row>
    <row r="100" spans="1:50" x14ac:dyDescent="0.2">
      <c r="A100" s="574"/>
      <c r="B100" s="574"/>
      <c r="C100" s="574"/>
      <c r="D100" s="574"/>
      <c r="E100" s="574"/>
      <c r="F100" s="574"/>
      <c r="AN100" s="40"/>
      <c r="AP100" s="41"/>
      <c r="AR100" s="42"/>
      <c r="AT100" s="42"/>
      <c r="AV100" s="42"/>
      <c r="AX100" s="45"/>
    </row>
    <row r="101" spans="1:50" x14ac:dyDescent="0.2">
      <c r="A101" s="574"/>
      <c r="B101" s="574"/>
      <c r="C101" s="574"/>
      <c r="D101" s="574"/>
      <c r="E101" s="574"/>
      <c r="F101" s="574"/>
      <c r="AN101" s="40"/>
      <c r="AP101" s="41"/>
      <c r="AR101" s="42"/>
      <c r="AT101" s="42"/>
      <c r="AV101" s="42"/>
      <c r="AX101" s="45"/>
    </row>
    <row r="102" spans="1:50" x14ac:dyDescent="0.2">
      <c r="A102" s="574"/>
      <c r="B102" s="574"/>
      <c r="C102" s="574"/>
      <c r="D102" s="574"/>
      <c r="E102" s="574"/>
      <c r="F102" s="574"/>
      <c r="AN102" s="40"/>
      <c r="AP102" s="41"/>
      <c r="AR102" s="42"/>
      <c r="AT102" s="42"/>
      <c r="AV102" s="42"/>
      <c r="AX102" s="45"/>
    </row>
    <row r="103" spans="1:50" x14ac:dyDescent="0.2">
      <c r="A103" s="574"/>
      <c r="B103" s="574"/>
      <c r="C103" s="574"/>
      <c r="D103" s="574"/>
      <c r="E103" s="574"/>
      <c r="F103" s="574"/>
      <c r="AN103" s="40"/>
    </row>
    <row r="104" spans="1:50" x14ac:dyDescent="0.2">
      <c r="A104" s="574"/>
      <c r="B104" s="574"/>
      <c r="C104" s="574"/>
      <c r="D104" s="574"/>
      <c r="E104" s="574"/>
      <c r="F104" s="574"/>
      <c r="AN104" s="40"/>
    </row>
    <row r="105" spans="1:50" x14ac:dyDescent="0.2">
      <c r="A105" s="574"/>
      <c r="B105" s="574"/>
      <c r="C105" s="574"/>
      <c r="D105" s="574"/>
      <c r="E105" s="574"/>
      <c r="F105" s="574"/>
      <c r="AN105" s="40"/>
    </row>
    <row r="106" spans="1:50" x14ac:dyDescent="0.2">
      <c r="A106" s="574"/>
      <c r="B106" s="574"/>
      <c r="C106" s="574"/>
      <c r="D106" s="574"/>
      <c r="E106" s="574"/>
      <c r="F106" s="574"/>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row>
    <row r="107" spans="1:50" x14ac:dyDescent="0.2">
      <c r="A107" s="574"/>
      <c r="B107" s="574"/>
      <c r="C107" s="574"/>
      <c r="D107" s="574"/>
      <c r="E107" s="574"/>
      <c r="F107" s="574"/>
      <c r="I107" s="40"/>
      <c r="J107" s="40"/>
      <c r="K107" s="40"/>
      <c r="L107" s="40"/>
      <c r="M107" s="40"/>
      <c r="N107" s="40"/>
      <c r="O107" s="46"/>
      <c r="P107" s="40"/>
      <c r="Q107" s="40"/>
      <c r="R107" s="40"/>
      <c r="S107" s="46"/>
      <c r="T107" s="40"/>
      <c r="U107" s="40"/>
      <c r="V107" s="40"/>
      <c r="W107" s="46"/>
      <c r="X107" s="40"/>
      <c r="Y107" s="40"/>
      <c r="Z107" s="40"/>
      <c r="AA107" s="46"/>
      <c r="AB107" s="40"/>
      <c r="AC107" s="40"/>
      <c r="AD107" s="40"/>
      <c r="AE107" s="46"/>
      <c r="AF107" s="40"/>
      <c r="AG107" s="40"/>
      <c r="AH107" s="40"/>
      <c r="AI107" s="47"/>
      <c r="AJ107" s="40"/>
      <c r="AK107" s="40"/>
      <c r="AL107" s="40"/>
      <c r="AM107" s="46"/>
      <c r="AN107" s="40"/>
    </row>
    <row r="108" spans="1:50" x14ac:dyDescent="0.2">
      <c r="A108" s="574"/>
      <c r="B108" s="574"/>
      <c r="C108" s="574"/>
      <c r="D108" s="574"/>
      <c r="E108" s="574"/>
      <c r="F108" s="574"/>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row>
    <row r="109" spans="1:50" x14ac:dyDescent="0.2">
      <c r="A109" s="574"/>
      <c r="B109" s="574"/>
      <c r="C109" s="574"/>
      <c r="D109" s="574"/>
      <c r="E109" s="574"/>
      <c r="F109" s="574"/>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row>
    <row r="110" spans="1:50" x14ac:dyDescent="0.2">
      <c r="A110" s="574"/>
      <c r="B110" s="574"/>
      <c r="C110" s="574"/>
      <c r="D110" s="574"/>
      <c r="E110" s="574"/>
      <c r="F110" s="574"/>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row>
    <row r="111" spans="1:50" x14ac:dyDescent="0.2">
      <c r="A111" s="574"/>
      <c r="B111" s="574"/>
      <c r="C111" s="574"/>
      <c r="D111" s="574"/>
      <c r="E111" s="574"/>
      <c r="F111" s="574"/>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row>
    <row r="112" spans="1:50" x14ac:dyDescent="0.2">
      <c r="A112" s="574"/>
      <c r="B112" s="574"/>
      <c r="C112" s="574"/>
      <c r="D112" s="574"/>
      <c r="E112" s="574"/>
      <c r="F112" s="574"/>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row>
    <row r="113" spans="1:40" x14ac:dyDescent="0.2">
      <c r="A113" s="574"/>
      <c r="B113" s="574"/>
      <c r="C113" s="574"/>
      <c r="D113" s="574"/>
      <c r="E113" s="574"/>
      <c r="F113" s="574"/>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row>
    <row r="114" spans="1:40" x14ac:dyDescent="0.2">
      <c r="A114" s="574"/>
      <c r="B114" s="574"/>
      <c r="C114" s="574"/>
      <c r="D114" s="574"/>
      <c r="E114" s="574"/>
      <c r="F114" s="574"/>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row>
    <row r="115" spans="1:40" x14ac:dyDescent="0.2">
      <c r="A115" s="574"/>
      <c r="B115" s="574"/>
      <c r="C115" s="574"/>
      <c r="D115" s="574"/>
      <c r="E115" s="574"/>
      <c r="F115" s="574"/>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row>
    <row r="116" spans="1:40" x14ac:dyDescent="0.2">
      <c r="A116" s="574"/>
      <c r="B116" s="574"/>
      <c r="C116" s="574"/>
      <c r="D116" s="574"/>
      <c r="E116" s="574"/>
      <c r="F116" s="574"/>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row>
    <row r="117" spans="1:40" x14ac:dyDescent="0.2">
      <c r="A117" s="574"/>
      <c r="B117" s="574"/>
      <c r="C117" s="574"/>
      <c r="D117" s="574"/>
      <c r="E117" s="574"/>
      <c r="F117" s="574"/>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row>
    <row r="118" spans="1:40" x14ac:dyDescent="0.2">
      <c r="A118" s="574"/>
      <c r="B118" s="574"/>
      <c r="C118" s="574"/>
      <c r="D118" s="574"/>
      <c r="E118" s="574"/>
      <c r="F118" s="574"/>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row>
    <row r="119" spans="1:40" x14ac:dyDescent="0.2">
      <c r="A119" s="574"/>
      <c r="B119" s="574"/>
      <c r="C119" s="574"/>
      <c r="D119" s="574"/>
      <c r="E119" s="574"/>
      <c r="F119" s="574"/>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row>
    <row r="120" spans="1:40" x14ac:dyDescent="0.2">
      <c r="A120" s="574"/>
      <c r="B120" s="574"/>
      <c r="C120" s="574"/>
      <c r="D120" s="574"/>
      <c r="E120" s="574"/>
      <c r="F120" s="574"/>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row>
    <row r="121" spans="1:40" x14ac:dyDescent="0.2">
      <c r="A121" s="574"/>
      <c r="B121" s="574"/>
      <c r="C121" s="574"/>
      <c r="D121" s="574"/>
      <c r="E121" s="574"/>
      <c r="F121" s="574"/>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row>
    <row r="122" spans="1:40" x14ac:dyDescent="0.2">
      <c r="A122" s="574"/>
      <c r="B122" s="574"/>
      <c r="C122" s="574"/>
      <c r="D122" s="574"/>
      <c r="E122" s="574"/>
      <c r="F122" s="574"/>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row>
    <row r="123" spans="1:40" x14ac:dyDescent="0.2">
      <c r="A123" s="574"/>
      <c r="B123" s="574"/>
      <c r="C123" s="574"/>
      <c r="D123" s="574"/>
      <c r="E123" s="574"/>
      <c r="F123" s="574"/>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row>
    <row r="124" spans="1:40" x14ac:dyDescent="0.2">
      <c r="A124" s="574"/>
      <c r="B124" s="574"/>
      <c r="C124" s="574"/>
      <c r="D124" s="574"/>
      <c r="E124" s="574"/>
      <c r="F124" s="574"/>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row>
    <row r="125" spans="1:40" x14ac:dyDescent="0.2">
      <c r="A125" s="574"/>
      <c r="B125" s="574"/>
      <c r="C125" s="574"/>
      <c r="D125" s="574"/>
      <c r="E125" s="574"/>
      <c r="F125" s="574"/>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row>
    <row r="126" spans="1:40" x14ac:dyDescent="0.2">
      <c r="A126" s="574"/>
      <c r="B126" s="574"/>
      <c r="C126" s="574"/>
      <c r="D126" s="574"/>
      <c r="E126" s="574"/>
      <c r="F126" s="574"/>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row>
    <row r="127" spans="1:40" x14ac:dyDescent="0.2">
      <c r="A127" s="574"/>
      <c r="B127" s="574"/>
      <c r="C127" s="574"/>
      <c r="D127" s="574"/>
      <c r="E127" s="574"/>
      <c r="F127" s="574"/>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row>
    <row r="128" spans="1:40" x14ac:dyDescent="0.2">
      <c r="A128" s="574"/>
      <c r="B128" s="574"/>
      <c r="C128" s="574"/>
      <c r="D128" s="574"/>
      <c r="E128" s="574"/>
      <c r="F128" s="574"/>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row>
    <row r="129" spans="1:40" x14ac:dyDescent="0.2">
      <c r="A129" s="574"/>
      <c r="B129" s="574"/>
      <c r="C129" s="574"/>
      <c r="D129" s="574"/>
      <c r="E129" s="574"/>
      <c r="F129" s="574"/>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row>
    <row r="130" spans="1:40" x14ac:dyDescent="0.2">
      <c r="A130" s="574"/>
      <c r="B130" s="574"/>
      <c r="C130" s="574"/>
      <c r="D130" s="574"/>
      <c r="E130" s="574"/>
      <c r="F130" s="574"/>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row>
    <row r="131" spans="1:40" x14ac:dyDescent="0.2">
      <c r="A131" s="574"/>
      <c r="B131" s="574"/>
      <c r="C131" s="574"/>
      <c r="D131" s="574"/>
      <c r="E131" s="574"/>
      <c r="F131" s="574"/>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row>
    <row r="132" spans="1:40" x14ac:dyDescent="0.2">
      <c r="A132" s="574"/>
      <c r="B132" s="574"/>
      <c r="C132" s="574"/>
      <c r="D132" s="574"/>
      <c r="E132" s="574"/>
      <c r="F132" s="574"/>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row>
    <row r="133" spans="1:40" x14ac:dyDescent="0.2">
      <c r="A133" s="574"/>
      <c r="B133" s="574"/>
      <c r="C133" s="574"/>
      <c r="D133" s="574"/>
      <c r="E133" s="574"/>
      <c r="F133" s="574"/>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row>
    <row r="134" spans="1:40" x14ac:dyDescent="0.2">
      <c r="A134" s="574"/>
      <c r="B134" s="574"/>
      <c r="C134" s="574"/>
      <c r="D134" s="574"/>
      <c r="E134" s="574"/>
      <c r="F134" s="574"/>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row>
    <row r="135" spans="1:40" x14ac:dyDescent="0.2">
      <c r="A135" s="574"/>
      <c r="B135" s="574"/>
      <c r="C135" s="574"/>
      <c r="D135" s="574"/>
      <c r="E135" s="574"/>
      <c r="F135" s="574"/>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row>
    <row r="136" spans="1:40" x14ac:dyDescent="0.2">
      <c r="A136" s="574"/>
      <c r="B136" s="574"/>
      <c r="C136" s="574"/>
      <c r="D136" s="574"/>
      <c r="E136" s="574"/>
      <c r="F136" s="574"/>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row>
    <row r="137" spans="1:40" x14ac:dyDescent="0.2">
      <c r="A137" s="574"/>
      <c r="B137" s="574"/>
      <c r="C137" s="574"/>
      <c r="D137" s="574"/>
      <c r="E137" s="574"/>
      <c r="F137" s="574"/>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row>
    <row r="138" spans="1:40" x14ac:dyDescent="0.2">
      <c r="A138" s="574"/>
      <c r="B138" s="574"/>
      <c r="C138" s="574"/>
      <c r="D138" s="574"/>
      <c r="E138" s="574"/>
      <c r="F138" s="574"/>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row>
    <row r="139" spans="1:40" x14ac:dyDescent="0.2">
      <c r="A139" s="574"/>
      <c r="B139" s="574"/>
      <c r="C139" s="574"/>
      <c r="D139" s="574"/>
      <c r="E139" s="574"/>
      <c r="F139" s="574"/>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row>
    <row r="140" spans="1:40" x14ac:dyDescent="0.2">
      <c r="A140" s="574"/>
      <c r="B140" s="574"/>
      <c r="C140" s="574"/>
      <c r="D140" s="574"/>
      <c r="E140" s="574"/>
      <c r="F140" s="574"/>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row>
    <row r="141" spans="1:40" x14ac:dyDescent="0.2">
      <c r="A141" s="574"/>
      <c r="B141" s="574"/>
      <c r="C141" s="574"/>
      <c r="D141" s="574"/>
      <c r="E141" s="574"/>
      <c r="F141" s="574"/>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row>
    <row r="142" spans="1:40" x14ac:dyDescent="0.2">
      <c r="A142" s="574"/>
      <c r="B142" s="574"/>
      <c r="C142" s="574"/>
      <c r="D142" s="574"/>
      <c r="E142" s="574"/>
      <c r="F142" s="574"/>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row>
    <row r="143" spans="1:40" x14ac:dyDescent="0.2">
      <c r="A143" s="574"/>
      <c r="B143" s="574"/>
      <c r="C143" s="574"/>
      <c r="D143" s="574"/>
      <c r="E143" s="574"/>
      <c r="F143" s="574"/>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row>
    <row r="144" spans="1:40" x14ac:dyDescent="0.2">
      <c r="A144" s="574"/>
      <c r="B144" s="574"/>
      <c r="C144" s="574"/>
      <c r="D144" s="574"/>
      <c r="E144" s="574"/>
      <c r="F144" s="574"/>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row>
    <row r="145" spans="9:40" x14ac:dyDescent="0.2">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row>
    <row r="146" spans="9:40" x14ac:dyDescent="0.2">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row>
    <row r="147" spans="9:40" x14ac:dyDescent="0.2">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row>
  </sheetData>
  <mergeCells count="5">
    <mergeCell ref="A21:F21"/>
    <mergeCell ref="A42:F42"/>
    <mergeCell ref="A3:F3"/>
    <mergeCell ref="A38:F38"/>
    <mergeCell ref="A1:F1"/>
  </mergeCells>
  <phoneticPr fontId="13" type="noConversion"/>
  <printOptions horizontalCentered="1"/>
  <pageMargins left="1" right="1" top="1" bottom="0.5" header="0.5" footer="0.5"/>
  <pageSetup scale="95" fitToHeight="0" orientation="portrait" r:id="rId1"/>
  <headerFooter alignWithMargins="0"/>
  <rowBreaks count="1" manualBreakCount="1">
    <brk id="35"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79"/>
  <sheetViews>
    <sheetView workbookViewId="0">
      <selection activeCell="AI8" sqref="AI8"/>
    </sheetView>
  </sheetViews>
  <sheetFormatPr defaultRowHeight="12.75" x14ac:dyDescent="0.2"/>
  <cols>
    <col min="2" max="2" width="6.77734375" style="53" customWidth="1"/>
    <col min="3" max="3" width="1.77734375" style="53" customWidth="1"/>
    <col min="4" max="4" width="7.77734375" style="53" customWidth="1"/>
    <col min="5" max="5" width="1.77734375" style="53" customWidth="1"/>
    <col min="6" max="6" width="7.77734375" style="53" customWidth="1"/>
    <col min="7" max="7" width="1.77734375" style="53" customWidth="1"/>
    <col min="8" max="8" width="8.88671875" style="53" customWidth="1"/>
    <col min="9" max="9" width="1.77734375" style="53" customWidth="1"/>
    <col min="10" max="10" width="7.77734375" style="53" customWidth="1"/>
    <col min="11" max="11" width="1.77734375" style="53" customWidth="1"/>
    <col min="12" max="12" width="7.77734375" style="53" customWidth="1"/>
    <col min="13" max="13" width="1.77734375" style="53" customWidth="1"/>
    <col min="14" max="14" width="7.77734375" style="53" customWidth="1"/>
    <col min="15" max="15" width="1.77734375" style="53" customWidth="1"/>
    <col min="16" max="16" width="7.77734375" style="53" customWidth="1"/>
    <col min="17" max="17" width="1.77734375" style="53" customWidth="1"/>
    <col min="18" max="18" width="7.77734375" style="53" customWidth="1"/>
    <col min="19" max="19" width="1.77734375" style="53" customWidth="1"/>
    <col min="20" max="20" width="7.77734375" style="53" customWidth="1"/>
    <col min="21" max="21" width="1.77734375" style="53" customWidth="1"/>
    <col min="22" max="22" width="7.77734375" style="53" customWidth="1"/>
    <col min="23" max="23" width="1.77734375" style="53" customWidth="1"/>
    <col min="24" max="24" width="7.77734375" style="53" customWidth="1"/>
    <col min="25" max="25" width="1.77734375" style="53" customWidth="1"/>
    <col min="26" max="26" width="7.77734375" style="53" customWidth="1"/>
    <col min="27" max="27" width="1.77734375" style="53" customWidth="1"/>
    <col min="28" max="28" width="7.77734375" style="53" customWidth="1"/>
    <col min="29" max="29" width="1.77734375" style="53" customWidth="1"/>
    <col min="30" max="30" width="7.77734375" style="53" customWidth="1"/>
    <col min="31" max="31" width="1.77734375" style="53" customWidth="1"/>
    <col min="32" max="32" width="8.88671875" style="53" customWidth="1"/>
  </cols>
  <sheetData>
    <row r="1" spans="1:32" ht="15" x14ac:dyDescent="0.2">
      <c r="B1" s="152" t="s">
        <v>133</v>
      </c>
      <c r="C1" s="138"/>
      <c r="D1" s="138"/>
      <c r="E1" s="138"/>
      <c r="F1" s="138"/>
      <c r="G1" s="138"/>
      <c r="H1" s="138"/>
      <c r="I1" s="138"/>
      <c r="J1" s="138"/>
      <c r="K1" s="138"/>
      <c r="L1" s="138"/>
      <c r="M1" s="138"/>
      <c r="N1" s="152"/>
      <c r="O1" s="138"/>
      <c r="P1" s="138"/>
      <c r="Q1" s="138"/>
      <c r="R1" s="138"/>
      <c r="S1" s="138"/>
      <c r="T1" s="138"/>
      <c r="U1" s="138"/>
      <c r="V1" s="138"/>
      <c r="W1" s="138"/>
      <c r="X1" s="138"/>
      <c r="Y1" s="138"/>
      <c r="Z1" s="138"/>
      <c r="AA1" s="138"/>
      <c r="AB1" s="138"/>
      <c r="AC1" s="138"/>
      <c r="AD1" s="138"/>
      <c r="AE1" s="138"/>
      <c r="AF1" s="138"/>
    </row>
    <row r="2" spans="1:32" ht="15" x14ac:dyDescent="0.2">
      <c r="B2" s="152" t="s">
        <v>134</v>
      </c>
      <c r="C2" s="138"/>
      <c r="D2" s="138"/>
      <c r="E2" s="138"/>
      <c r="F2" s="138"/>
      <c r="G2" s="138"/>
      <c r="H2" s="138"/>
      <c r="I2" s="138"/>
      <c r="J2" s="138"/>
      <c r="K2" s="138"/>
      <c r="L2" s="138"/>
      <c r="M2" s="138"/>
      <c r="N2" s="152"/>
      <c r="O2" s="138"/>
      <c r="P2" s="138"/>
      <c r="Q2" s="138"/>
      <c r="R2" s="138"/>
      <c r="S2" s="138"/>
      <c r="T2" s="138"/>
      <c r="U2" s="138"/>
      <c r="V2" s="138"/>
      <c r="W2" s="138"/>
      <c r="X2" s="138"/>
      <c r="Y2" s="138"/>
      <c r="Z2" s="138"/>
      <c r="AA2" s="138"/>
      <c r="AB2" s="138"/>
      <c r="AC2" s="138"/>
      <c r="AD2" s="138"/>
      <c r="AE2" s="138"/>
      <c r="AF2" s="138"/>
    </row>
    <row r="3" spans="1:32" ht="15" x14ac:dyDescent="0.2">
      <c r="B3" s="575" t="s">
        <v>322</v>
      </c>
      <c r="C3" s="138"/>
      <c r="D3" s="138"/>
      <c r="E3" s="138"/>
      <c r="F3" s="138"/>
      <c r="G3" s="138"/>
      <c r="H3" s="138"/>
      <c r="I3" s="138"/>
      <c r="J3" s="152"/>
      <c r="K3" s="138"/>
      <c r="L3" s="138"/>
      <c r="M3" s="138"/>
      <c r="N3" s="138"/>
      <c r="O3" s="138"/>
      <c r="P3" s="138"/>
      <c r="Q3" s="138"/>
      <c r="R3" s="138"/>
      <c r="S3" s="138"/>
      <c r="T3" s="138"/>
      <c r="U3" s="138"/>
      <c r="V3" s="138"/>
      <c r="W3" s="138"/>
      <c r="X3" s="138"/>
      <c r="Y3" s="138"/>
      <c r="Z3" s="138"/>
      <c r="AA3" s="138"/>
      <c r="AB3" s="138"/>
      <c r="AC3" s="138"/>
      <c r="AD3" s="138"/>
      <c r="AE3" s="138"/>
      <c r="AF3" s="138"/>
    </row>
    <row r="4" spans="1:32" x14ac:dyDescent="0.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row>
    <row r="5" spans="1:32" ht="15" x14ac:dyDescent="0.2">
      <c r="B5" s="140"/>
      <c r="C5" s="140"/>
      <c r="D5" s="140"/>
      <c r="E5" s="140"/>
      <c r="F5" s="139"/>
      <c r="G5" s="140"/>
      <c r="H5" s="140"/>
      <c r="I5" s="140"/>
      <c r="J5" s="139"/>
      <c r="K5" s="140"/>
      <c r="L5" s="140"/>
      <c r="M5" s="140"/>
      <c r="N5" s="139"/>
      <c r="O5" s="140"/>
      <c r="P5" s="140"/>
      <c r="Q5" s="140"/>
      <c r="R5" s="139"/>
      <c r="S5" s="140"/>
      <c r="T5" s="140"/>
      <c r="U5" s="140"/>
      <c r="V5" s="139"/>
      <c r="W5" s="140"/>
      <c r="X5" s="140"/>
      <c r="Y5" s="140"/>
      <c r="Z5" s="139"/>
      <c r="AA5" s="140"/>
      <c r="AB5" s="140"/>
      <c r="AC5" s="140"/>
      <c r="AD5" s="139"/>
      <c r="AE5" s="140"/>
      <c r="AF5" s="140"/>
    </row>
    <row r="6" spans="1:32" x14ac:dyDescent="0.2">
      <c r="B6" s="141"/>
      <c r="C6" s="141"/>
      <c r="D6" s="141" t="s">
        <v>323</v>
      </c>
      <c r="E6" s="141"/>
      <c r="F6" s="138" t="s">
        <v>146</v>
      </c>
      <c r="G6" s="138"/>
      <c r="H6" s="138"/>
      <c r="I6" s="141"/>
      <c r="J6" s="138" t="s">
        <v>147</v>
      </c>
      <c r="K6" s="138"/>
      <c r="L6" s="138"/>
      <c r="M6" s="141"/>
      <c r="N6" s="138" t="s">
        <v>148</v>
      </c>
      <c r="O6" s="138"/>
      <c r="P6" s="138"/>
      <c r="Q6" s="141"/>
      <c r="R6" s="138" t="s">
        <v>150</v>
      </c>
      <c r="S6" s="138"/>
      <c r="T6" s="138"/>
      <c r="U6" s="141"/>
      <c r="V6" s="138" t="s">
        <v>267</v>
      </c>
      <c r="W6" s="138"/>
      <c r="X6" s="138"/>
      <c r="Y6" s="141"/>
      <c r="Z6" s="138" t="s">
        <v>152</v>
      </c>
      <c r="AA6" s="138"/>
      <c r="AB6" s="138"/>
      <c r="AC6" s="141"/>
      <c r="AD6" s="138" t="s">
        <v>270</v>
      </c>
      <c r="AE6" s="138"/>
      <c r="AF6" s="138"/>
    </row>
    <row r="7" spans="1:32" x14ac:dyDescent="0.2">
      <c r="B7" s="141" t="s">
        <v>324</v>
      </c>
      <c r="C7" s="141"/>
      <c r="D7" s="141" t="s">
        <v>272</v>
      </c>
      <c r="E7" s="141"/>
      <c r="F7" s="142" t="s">
        <v>255</v>
      </c>
      <c r="G7" s="142"/>
      <c r="H7" s="142"/>
      <c r="I7" s="141"/>
      <c r="J7" s="142" t="s">
        <v>255</v>
      </c>
      <c r="K7" s="142"/>
      <c r="L7" s="142"/>
      <c r="M7" s="141"/>
      <c r="N7" s="142" t="s">
        <v>255</v>
      </c>
      <c r="O7" s="142"/>
      <c r="P7" s="142"/>
      <c r="Q7" s="141"/>
      <c r="R7" s="142" t="s">
        <v>255</v>
      </c>
      <c r="S7" s="142"/>
      <c r="T7" s="142"/>
      <c r="U7" s="141"/>
      <c r="V7" s="142" t="s">
        <v>255</v>
      </c>
      <c r="W7" s="142"/>
      <c r="X7" s="142"/>
      <c r="Y7" s="141"/>
      <c r="Z7" s="142" t="s">
        <v>255</v>
      </c>
      <c r="AA7" s="142"/>
      <c r="AB7" s="142"/>
      <c r="AC7" s="141"/>
      <c r="AD7" s="142" t="s">
        <v>255</v>
      </c>
      <c r="AE7" s="142"/>
      <c r="AF7" s="142"/>
    </row>
    <row r="8" spans="1:32" x14ac:dyDescent="0.2">
      <c r="B8" s="141" t="s">
        <v>273</v>
      </c>
      <c r="C8" s="141"/>
      <c r="D8" s="141" t="s">
        <v>274</v>
      </c>
      <c r="E8" s="141"/>
      <c r="F8" s="141" t="s">
        <v>325</v>
      </c>
      <c r="G8" s="141"/>
      <c r="H8" s="141" t="s">
        <v>276</v>
      </c>
      <c r="I8" s="141"/>
      <c r="J8" s="141" t="s">
        <v>325</v>
      </c>
      <c r="K8" s="141"/>
      <c r="L8" s="141" t="s">
        <v>276</v>
      </c>
      <c r="M8" s="141"/>
      <c r="N8" s="141" t="s">
        <v>325</v>
      </c>
      <c r="O8" s="141"/>
      <c r="P8" s="141" t="s">
        <v>276</v>
      </c>
      <c r="Q8" s="141"/>
      <c r="R8" s="141" t="s">
        <v>325</v>
      </c>
      <c r="S8" s="141"/>
      <c r="T8" s="141" t="s">
        <v>276</v>
      </c>
      <c r="U8" s="141"/>
      <c r="V8" s="141" t="s">
        <v>325</v>
      </c>
      <c r="W8" s="141"/>
      <c r="X8" s="141" t="s">
        <v>276</v>
      </c>
      <c r="Y8" s="141"/>
      <c r="Z8" s="141" t="s">
        <v>325</v>
      </c>
      <c r="AA8" s="141"/>
      <c r="AB8" s="141" t="s">
        <v>276</v>
      </c>
      <c r="AC8" s="141"/>
      <c r="AD8" s="141" t="s">
        <v>325</v>
      </c>
      <c r="AE8" s="141"/>
      <c r="AF8" s="141" t="s">
        <v>276</v>
      </c>
    </row>
    <row r="9" spans="1:32" x14ac:dyDescent="0.2">
      <c r="B9" s="143">
        <v>-1</v>
      </c>
      <c r="C9" s="144"/>
      <c r="D9" s="143">
        <v>-2</v>
      </c>
      <c r="E9" s="144"/>
      <c r="F9" s="143">
        <v>-3</v>
      </c>
      <c r="G9" s="145"/>
      <c r="H9" s="146" t="s">
        <v>277</v>
      </c>
      <c r="I9" s="145"/>
      <c r="J9" s="143">
        <v>-5</v>
      </c>
      <c r="K9" s="144"/>
      <c r="L9" s="143" t="s">
        <v>278</v>
      </c>
      <c r="M9" s="144"/>
      <c r="N9" s="143">
        <v>-7</v>
      </c>
      <c r="O9" s="144"/>
      <c r="P9" s="143" t="s">
        <v>279</v>
      </c>
      <c r="Q9" s="144"/>
      <c r="R9" s="143">
        <v>-9</v>
      </c>
      <c r="S9" s="144"/>
      <c r="T9" s="143" t="s">
        <v>280</v>
      </c>
      <c r="U9" s="144"/>
      <c r="V9" s="143">
        <v>-11</v>
      </c>
      <c r="W9" s="144"/>
      <c r="X9" s="143" t="s">
        <v>281</v>
      </c>
      <c r="Y9" s="144"/>
      <c r="Z9" s="143">
        <v>-13</v>
      </c>
      <c r="AA9" s="144"/>
      <c r="AB9" s="143" t="s">
        <v>282</v>
      </c>
      <c r="AC9" s="144"/>
      <c r="AD9" s="143">
        <v>-15</v>
      </c>
      <c r="AE9" s="144"/>
      <c r="AF9" s="143">
        <v>-16</v>
      </c>
    </row>
    <row r="10" spans="1:32" x14ac:dyDescent="0.2">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row>
    <row r="11" spans="1:32" x14ac:dyDescent="0.2">
      <c r="A11" s="202">
        <v>1</v>
      </c>
      <c r="B11" s="141" t="s">
        <v>326</v>
      </c>
      <c r="C11" s="140"/>
      <c r="D11" s="432">
        <v>1</v>
      </c>
      <c r="E11" s="140"/>
      <c r="F11" s="147">
        <v>119299</v>
      </c>
      <c r="G11" s="140"/>
      <c r="H11" s="147">
        <f t="shared" ref="H11:H19" si="0">ROUND(+F11*$D11,0)</f>
        <v>119299</v>
      </c>
      <c r="I11" s="140"/>
      <c r="J11" s="147">
        <v>4603</v>
      </c>
      <c r="K11" s="140"/>
      <c r="L11" s="147">
        <f t="shared" ref="L11:L19" si="1">ROUND(+J11*$D11,0)</f>
        <v>4603</v>
      </c>
      <c r="M11" s="140"/>
      <c r="N11" s="147">
        <v>6</v>
      </c>
      <c r="P11" s="147">
        <f t="shared" ref="P11:P19" si="2">ROUND(+N11*$D11,0)</f>
        <v>6</v>
      </c>
      <c r="Q11" s="140"/>
      <c r="R11" s="147">
        <v>125</v>
      </c>
      <c r="S11" s="140"/>
      <c r="T11" s="147">
        <f t="shared" ref="T11:T19" si="3">ROUND(+R11*$D11,0)</f>
        <v>125</v>
      </c>
      <c r="U11" s="140"/>
      <c r="V11" s="147">
        <v>0</v>
      </c>
      <c r="W11" s="140"/>
      <c r="X11" s="147">
        <f t="shared" ref="X11:X19" si="4">ROUND(+V11*$D11,0)</f>
        <v>0</v>
      </c>
      <c r="Y11" s="140"/>
      <c r="Z11" s="147">
        <v>1862</v>
      </c>
      <c r="AA11" s="140"/>
      <c r="AB11" s="147">
        <f t="shared" ref="AB11:AB19" si="5">ROUND(+Z11*$D11,0)</f>
        <v>1862</v>
      </c>
      <c r="AC11" s="140"/>
      <c r="AD11" s="147">
        <f t="shared" ref="AD11:AD19" si="6">F11+J11+N11+R11+V11+Z11</f>
        <v>125895</v>
      </c>
      <c r="AE11" s="140"/>
      <c r="AF11" s="147">
        <f t="shared" ref="AF11:AF19" si="7">H11+L11+P11+T11+X11+AB11</f>
        <v>125895</v>
      </c>
    </row>
    <row r="12" spans="1:32" s="256" customFormat="1" ht="23.45" customHeight="1" x14ac:dyDescent="0.2">
      <c r="A12" s="202"/>
      <c r="B12" s="258" t="s">
        <v>392</v>
      </c>
      <c r="C12" s="140"/>
      <c r="D12" s="432">
        <v>1.4</v>
      </c>
      <c r="E12" s="140"/>
      <c r="F12" s="147">
        <v>0</v>
      </c>
      <c r="G12" s="140"/>
      <c r="H12" s="147">
        <f t="shared" si="0"/>
        <v>0</v>
      </c>
      <c r="I12" s="140"/>
      <c r="J12" s="147">
        <v>0</v>
      </c>
      <c r="K12" s="140"/>
      <c r="L12" s="147">
        <f t="shared" si="1"/>
        <v>0</v>
      </c>
      <c r="M12" s="140"/>
      <c r="N12" s="147">
        <v>0</v>
      </c>
      <c r="O12" s="140"/>
      <c r="P12" s="147">
        <f t="shared" si="2"/>
        <v>0</v>
      </c>
      <c r="Q12" s="140"/>
      <c r="R12" s="147">
        <v>0</v>
      </c>
      <c r="S12" s="140"/>
      <c r="T12" s="147">
        <f t="shared" si="3"/>
        <v>0</v>
      </c>
      <c r="U12" s="140"/>
      <c r="V12" s="147">
        <v>0</v>
      </c>
      <c r="W12" s="140"/>
      <c r="X12" s="147">
        <f t="shared" si="4"/>
        <v>0</v>
      </c>
      <c r="Y12" s="140"/>
      <c r="Z12" s="147">
        <v>0</v>
      </c>
      <c r="AA12" s="140"/>
      <c r="AB12" s="147">
        <f t="shared" si="5"/>
        <v>0</v>
      </c>
      <c r="AC12" s="140"/>
      <c r="AD12" s="147">
        <f t="shared" si="6"/>
        <v>0</v>
      </c>
      <c r="AE12" s="140"/>
      <c r="AF12" s="147">
        <f t="shared" si="7"/>
        <v>0</v>
      </c>
    </row>
    <row r="13" spans="1:32" ht="23.45" customHeight="1" x14ac:dyDescent="0.2">
      <c r="A13" s="202">
        <v>2</v>
      </c>
      <c r="B13" s="141" t="s">
        <v>327</v>
      </c>
      <c r="C13" s="140"/>
      <c r="D13" s="432">
        <v>1.8</v>
      </c>
      <c r="E13" s="140"/>
      <c r="F13" s="147">
        <v>2067</v>
      </c>
      <c r="G13" s="140"/>
      <c r="H13" s="147">
        <f t="shared" si="0"/>
        <v>3721</v>
      </c>
      <c r="I13" s="140"/>
      <c r="J13" s="147">
        <v>2425</v>
      </c>
      <c r="K13" s="140"/>
      <c r="L13" s="147">
        <f t="shared" si="1"/>
        <v>4365</v>
      </c>
      <c r="M13" s="140"/>
      <c r="N13" s="147">
        <v>4</v>
      </c>
      <c r="O13" s="140"/>
      <c r="P13" s="147">
        <f t="shared" si="2"/>
        <v>7</v>
      </c>
      <c r="Q13" s="140"/>
      <c r="R13" s="147">
        <v>182</v>
      </c>
      <c r="S13" s="140"/>
      <c r="T13" s="147">
        <f t="shared" si="3"/>
        <v>328</v>
      </c>
      <c r="U13" s="140"/>
      <c r="V13" s="147">
        <v>0</v>
      </c>
      <c r="W13" s="140"/>
      <c r="X13" s="147">
        <f t="shared" si="4"/>
        <v>0</v>
      </c>
      <c r="Y13" s="140"/>
      <c r="Z13" s="140">
        <v>0</v>
      </c>
      <c r="AA13" s="140"/>
      <c r="AB13" s="147">
        <f t="shared" si="5"/>
        <v>0</v>
      </c>
      <c r="AC13" s="140"/>
      <c r="AD13" s="147">
        <f t="shared" si="6"/>
        <v>4678</v>
      </c>
      <c r="AE13" s="140"/>
      <c r="AF13" s="147">
        <f t="shared" si="7"/>
        <v>8421</v>
      </c>
    </row>
    <row r="14" spans="1:32" ht="22.9" customHeight="1" x14ac:dyDescent="0.2">
      <c r="A14" s="202">
        <v>7.4</v>
      </c>
      <c r="B14" s="141" t="s">
        <v>328</v>
      </c>
      <c r="C14" s="140"/>
      <c r="D14" s="432">
        <v>3</v>
      </c>
      <c r="E14" s="140"/>
      <c r="F14" s="147">
        <v>13</v>
      </c>
      <c r="G14" s="140"/>
      <c r="H14" s="147">
        <f t="shared" si="0"/>
        <v>39</v>
      </c>
      <c r="I14" s="140"/>
      <c r="J14" s="147">
        <v>176</v>
      </c>
      <c r="K14" s="140"/>
      <c r="L14" s="147">
        <f t="shared" si="1"/>
        <v>528</v>
      </c>
      <c r="M14" s="140"/>
      <c r="N14" s="147">
        <v>2</v>
      </c>
      <c r="O14" s="140"/>
      <c r="P14" s="147">
        <f t="shared" si="2"/>
        <v>6</v>
      </c>
      <c r="Q14" s="140"/>
      <c r="R14" s="147">
        <v>32</v>
      </c>
      <c r="S14" s="140"/>
      <c r="T14" s="147">
        <f t="shared" si="3"/>
        <v>96</v>
      </c>
      <c r="U14" s="140"/>
      <c r="V14" s="147">
        <v>5</v>
      </c>
      <c r="W14" s="140"/>
      <c r="X14" s="147">
        <f t="shared" si="4"/>
        <v>15</v>
      </c>
      <c r="Y14" s="140"/>
      <c r="Z14" s="140">
        <v>0</v>
      </c>
      <c r="AA14" s="140"/>
      <c r="AB14" s="147">
        <f t="shared" si="5"/>
        <v>0</v>
      </c>
      <c r="AC14" s="140"/>
      <c r="AD14" s="147">
        <f t="shared" si="6"/>
        <v>228</v>
      </c>
      <c r="AE14" s="140"/>
      <c r="AF14" s="147">
        <f t="shared" si="7"/>
        <v>684</v>
      </c>
    </row>
    <row r="15" spans="1:32" ht="22.9" customHeight="1" x14ac:dyDescent="0.2">
      <c r="A15" s="202">
        <v>7.7</v>
      </c>
      <c r="B15" s="141" t="s">
        <v>329</v>
      </c>
      <c r="C15" s="140"/>
      <c r="D15" s="432">
        <v>4</v>
      </c>
      <c r="E15" s="140"/>
      <c r="F15" s="147">
        <v>117</v>
      </c>
      <c r="G15" s="140"/>
      <c r="H15" s="147">
        <f t="shared" si="0"/>
        <v>468</v>
      </c>
      <c r="I15" s="140"/>
      <c r="J15" s="147">
        <v>2008</v>
      </c>
      <c r="K15" s="140"/>
      <c r="L15" s="147">
        <f t="shared" si="1"/>
        <v>8032</v>
      </c>
      <c r="M15" s="140"/>
      <c r="N15" s="147">
        <v>22</v>
      </c>
      <c r="O15" s="140"/>
      <c r="P15" s="147">
        <f t="shared" si="2"/>
        <v>88</v>
      </c>
      <c r="Q15" s="140"/>
      <c r="R15" s="147">
        <v>405</v>
      </c>
      <c r="S15" s="140"/>
      <c r="T15" s="147">
        <f t="shared" si="3"/>
        <v>1620</v>
      </c>
      <c r="U15" s="140"/>
      <c r="V15" s="147">
        <v>4</v>
      </c>
      <c r="W15" s="140"/>
      <c r="X15" s="147">
        <f t="shared" si="4"/>
        <v>16</v>
      </c>
      <c r="Y15" s="140"/>
      <c r="Z15" s="140">
        <v>0</v>
      </c>
      <c r="AA15" s="140"/>
      <c r="AB15" s="147">
        <f t="shared" si="5"/>
        <v>0</v>
      </c>
      <c r="AC15" s="140"/>
      <c r="AD15" s="147">
        <f t="shared" si="6"/>
        <v>2556</v>
      </c>
      <c r="AE15" s="140"/>
      <c r="AF15" s="147">
        <f t="shared" si="7"/>
        <v>10224</v>
      </c>
    </row>
    <row r="16" spans="1:32" ht="23.45" customHeight="1" x14ac:dyDescent="0.2">
      <c r="A16" s="202">
        <v>12.7</v>
      </c>
      <c r="B16" s="141" t="s">
        <v>330</v>
      </c>
      <c r="C16" s="140"/>
      <c r="D16" s="432">
        <v>12</v>
      </c>
      <c r="E16" s="140"/>
      <c r="F16" s="147">
        <v>0</v>
      </c>
      <c r="G16" s="140"/>
      <c r="H16" s="147">
        <f t="shared" si="0"/>
        <v>0</v>
      </c>
      <c r="I16" s="140"/>
      <c r="J16" s="147">
        <v>1</v>
      </c>
      <c r="K16" s="140"/>
      <c r="L16" s="147">
        <f t="shared" si="1"/>
        <v>12</v>
      </c>
      <c r="M16" s="140"/>
      <c r="N16" s="147">
        <v>0</v>
      </c>
      <c r="O16" s="140"/>
      <c r="P16" s="147">
        <f t="shared" si="2"/>
        <v>0</v>
      </c>
      <c r="Q16" s="140"/>
      <c r="R16" s="147">
        <v>1</v>
      </c>
      <c r="S16" s="140"/>
      <c r="T16" s="147">
        <f t="shared" si="3"/>
        <v>12</v>
      </c>
      <c r="U16" s="140"/>
      <c r="V16" s="147">
        <v>0</v>
      </c>
      <c r="W16" s="140"/>
      <c r="X16" s="147">
        <f t="shared" si="4"/>
        <v>0</v>
      </c>
      <c r="Y16" s="140"/>
      <c r="Z16" s="140">
        <v>0</v>
      </c>
      <c r="AA16" s="140"/>
      <c r="AB16" s="147">
        <f t="shared" si="5"/>
        <v>0</v>
      </c>
      <c r="AC16" s="140"/>
      <c r="AD16" s="147">
        <f t="shared" si="6"/>
        <v>2</v>
      </c>
      <c r="AE16" s="140"/>
      <c r="AF16" s="147">
        <f t="shared" si="7"/>
        <v>24</v>
      </c>
    </row>
    <row r="17" spans="1:32" ht="23.45" customHeight="1" x14ac:dyDescent="0.2">
      <c r="A17" s="202">
        <v>17.600000000000001</v>
      </c>
      <c r="B17" s="141" t="s">
        <v>331</v>
      </c>
      <c r="C17" s="140"/>
      <c r="D17" s="432">
        <v>20</v>
      </c>
      <c r="E17" s="140"/>
      <c r="F17" s="147">
        <v>0</v>
      </c>
      <c r="G17" s="140"/>
      <c r="H17" s="147">
        <f t="shared" si="0"/>
        <v>0</v>
      </c>
      <c r="I17" s="140"/>
      <c r="J17" s="147">
        <v>30</v>
      </c>
      <c r="K17" s="140"/>
      <c r="L17" s="147">
        <f t="shared" si="1"/>
        <v>600</v>
      </c>
      <c r="M17" s="140"/>
      <c r="N17" s="147">
        <v>10</v>
      </c>
      <c r="O17" s="140"/>
      <c r="P17" s="147">
        <f t="shared" si="2"/>
        <v>200</v>
      </c>
      <c r="Q17" s="140"/>
      <c r="R17" s="147">
        <v>45</v>
      </c>
      <c r="S17" s="140"/>
      <c r="T17" s="147">
        <f t="shared" si="3"/>
        <v>900</v>
      </c>
      <c r="U17" s="140"/>
      <c r="V17" s="147">
        <v>6</v>
      </c>
      <c r="W17" s="140"/>
      <c r="X17" s="147">
        <f t="shared" si="4"/>
        <v>120</v>
      </c>
      <c r="Y17" s="140"/>
      <c r="Z17" s="140">
        <v>0</v>
      </c>
      <c r="AA17" s="140"/>
      <c r="AB17" s="147">
        <f t="shared" si="5"/>
        <v>0</v>
      </c>
      <c r="AC17" s="140"/>
      <c r="AD17" s="147">
        <f t="shared" si="6"/>
        <v>91</v>
      </c>
      <c r="AE17" s="140"/>
      <c r="AF17" s="147">
        <f t="shared" si="7"/>
        <v>1820</v>
      </c>
    </row>
    <row r="18" spans="1:32" ht="22.9" customHeight="1" x14ac:dyDescent="0.2">
      <c r="A18" s="202">
        <v>74.8</v>
      </c>
      <c r="B18" s="141" t="s">
        <v>332</v>
      </c>
      <c r="C18" s="140"/>
      <c r="D18" s="432">
        <v>30</v>
      </c>
      <c r="E18" s="140"/>
      <c r="F18" s="147">
        <v>3</v>
      </c>
      <c r="G18" s="140"/>
      <c r="H18" s="147">
        <f t="shared" si="0"/>
        <v>90</v>
      </c>
      <c r="I18" s="140"/>
      <c r="J18" s="147">
        <v>14</v>
      </c>
      <c r="K18" s="140"/>
      <c r="L18" s="147">
        <f t="shared" si="1"/>
        <v>420</v>
      </c>
      <c r="M18" s="140"/>
      <c r="N18" s="147">
        <v>9</v>
      </c>
      <c r="O18" s="140"/>
      <c r="P18" s="147">
        <f t="shared" si="2"/>
        <v>270</v>
      </c>
      <c r="Q18" s="140"/>
      <c r="R18" s="147">
        <v>14</v>
      </c>
      <c r="S18" s="140"/>
      <c r="T18" s="147">
        <f t="shared" si="3"/>
        <v>420</v>
      </c>
      <c r="U18" s="140"/>
      <c r="V18" s="147">
        <v>4</v>
      </c>
      <c r="W18" s="140"/>
      <c r="X18" s="147">
        <f t="shared" si="4"/>
        <v>120</v>
      </c>
      <c r="Y18" s="140"/>
      <c r="Z18" s="140">
        <v>0</v>
      </c>
      <c r="AA18" s="140"/>
      <c r="AB18" s="147">
        <f t="shared" si="5"/>
        <v>0</v>
      </c>
      <c r="AC18" s="140"/>
      <c r="AD18" s="147">
        <f t="shared" si="6"/>
        <v>44</v>
      </c>
      <c r="AE18" s="140"/>
      <c r="AF18" s="147">
        <f t="shared" si="7"/>
        <v>1320</v>
      </c>
    </row>
    <row r="19" spans="1:32" ht="21" customHeight="1" x14ac:dyDescent="0.2">
      <c r="A19" s="202">
        <v>133</v>
      </c>
      <c r="B19" s="141" t="s">
        <v>333</v>
      </c>
      <c r="C19" s="140"/>
      <c r="D19" s="432">
        <v>40</v>
      </c>
      <c r="E19" s="140"/>
      <c r="F19" s="147">
        <v>1</v>
      </c>
      <c r="G19" s="140"/>
      <c r="H19" s="147">
        <f t="shared" si="0"/>
        <v>40</v>
      </c>
      <c r="I19" s="140"/>
      <c r="J19" s="147">
        <v>11</v>
      </c>
      <c r="K19" s="140"/>
      <c r="L19" s="147">
        <f t="shared" si="1"/>
        <v>440</v>
      </c>
      <c r="M19" s="140"/>
      <c r="N19" s="147">
        <v>0</v>
      </c>
      <c r="O19" s="140"/>
      <c r="P19" s="147">
        <f t="shared" si="2"/>
        <v>0</v>
      </c>
      <c r="Q19" s="140"/>
      <c r="R19" s="147">
        <v>2</v>
      </c>
      <c r="S19" s="140"/>
      <c r="T19" s="147">
        <f t="shared" si="3"/>
        <v>80</v>
      </c>
      <c r="U19" s="140"/>
      <c r="V19" s="147">
        <v>0</v>
      </c>
      <c r="W19" s="140"/>
      <c r="X19" s="147">
        <f t="shared" si="4"/>
        <v>0</v>
      </c>
      <c r="Y19" s="140"/>
      <c r="Z19" s="140">
        <v>0</v>
      </c>
      <c r="AA19" s="140"/>
      <c r="AB19" s="147">
        <f t="shared" si="5"/>
        <v>0</v>
      </c>
      <c r="AC19" s="140"/>
      <c r="AD19" s="147">
        <f t="shared" si="6"/>
        <v>14</v>
      </c>
      <c r="AE19" s="140"/>
      <c r="AF19" s="147">
        <f t="shared" si="7"/>
        <v>560</v>
      </c>
    </row>
    <row r="20" spans="1:32" x14ac:dyDescent="0.2">
      <c r="A20" s="203"/>
      <c r="B20" s="140"/>
      <c r="C20" s="140"/>
      <c r="D20" s="140"/>
      <c r="E20" s="140"/>
      <c r="F20" s="148"/>
      <c r="G20" s="140"/>
      <c r="H20" s="148"/>
      <c r="I20" s="140"/>
      <c r="J20" s="148"/>
      <c r="K20" s="140"/>
      <c r="L20" s="148"/>
      <c r="M20" s="140"/>
      <c r="N20" s="148"/>
      <c r="O20" s="140"/>
      <c r="P20" s="148"/>
      <c r="Q20" s="140"/>
      <c r="R20" s="148"/>
      <c r="S20" s="140"/>
      <c r="T20" s="148"/>
      <c r="U20" s="140"/>
      <c r="V20" s="148"/>
      <c r="W20" s="140"/>
      <c r="X20" s="148"/>
      <c r="Y20" s="140"/>
      <c r="Z20" s="148"/>
      <c r="AA20" s="140"/>
      <c r="AB20" s="148"/>
      <c r="AC20" s="140"/>
      <c r="AD20" s="148"/>
      <c r="AE20" s="140"/>
      <c r="AF20" s="148"/>
    </row>
    <row r="21" spans="1:32" ht="13.5" thickBot="1" x14ac:dyDescent="0.25">
      <c r="B21" s="140" t="s">
        <v>270</v>
      </c>
      <c r="C21" s="140"/>
      <c r="D21" s="140"/>
      <c r="E21" s="140"/>
      <c r="F21" s="147">
        <f>SUM(F11:F19)</f>
        <v>121500</v>
      </c>
      <c r="G21" s="140"/>
      <c r="H21" s="147">
        <f>SUM(H11:H19)</f>
        <v>123657</v>
      </c>
      <c r="I21" s="140"/>
      <c r="J21" s="147">
        <f>SUM(J11:J19)</f>
        <v>9268</v>
      </c>
      <c r="K21" s="140"/>
      <c r="L21" s="149">
        <f>SUM(L11:L19)</f>
        <v>19000</v>
      </c>
      <c r="M21" s="140"/>
      <c r="N21" s="147">
        <f>SUM(N11:N19)</f>
        <v>53</v>
      </c>
      <c r="O21" s="140"/>
      <c r="P21" s="147">
        <f>SUM(P11:P19)</f>
        <v>577</v>
      </c>
      <c r="Q21" s="140"/>
      <c r="R21" s="147">
        <f>SUM(R11:R19)</f>
        <v>806</v>
      </c>
      <c r="S21" s="140"/>
      <c r="T21" s="147">
        <f>SUM(T11:T19)</f>
        <v>3581</v>
      </c>
      <c r="U21" s="140"/>
      <c r="V21" s="147">
        <f>SUM(V11:V19)</f>
        <v>19</v>
      </c>
      <c r="W21" s="140"/>
      <c r="X21" s="147">
        <f>SUM(X11:X19)</f>
        <v>271</v>
      </c>
      <c r="Y21" s="140"/>
      <c r="Z21" s="147">
        <f>SUM(Z11:Z19)</f>
        <v>1862</v>
      </c>
      <c r="AA21" s="140"/>
      <c r="AB21" s="147">
        <f>SUM(AB11:AB19)</f>
        <v>1862</v>
      </c>
      <c r="AC21" s="140"/>
      <c r="AD21" s="147">
        <f>SUM(AD11:AD19)</f>
        <v>133508</v>
      </c>
      <c r="AE21" s="140"/>
      <c r="AF21" s="147">
        <f>SUM(AF11:AF19)</f>
        <v>148948</v>
      </c>
    </row>
    <row r="22" spans="1:32" ht="13.5" thickTop="1" x14ac:dyDescent="0.2">
      <c r="B22" s="140"/>
      <c r="C22" s="140"/>
      <c r="D22" s="140"/>
      <c r="E22" s="140"/>
      <c r="F22" s="150"/>
      <c r="G22" s="140"/>
      <c r="H22" s="150"/>
      <c r="I22" s="140"/>
      <c r="J22" s="150"/>
      <c r="K22" s="140"/>
      <c r="L22" s="151"/>
      <c r="M22" s="140"/>
      <c r="N22" s="150"/>
      <c r="O22" s="140"/>
      <c r="P22" s="150"/>
      <c r="Q22" s="140"/>
      <c r="R22" s="150"/>
      <c r="S22" s="140"/>
      <c r="T22" s="150"/>
      <c r="U22" s="140"/>
      <c r="V22" s="150"/>
      <c r="W22" s="140"/>
      <c r="X22" s="150"/>
      <c r="Y22" s="140"/>
      <c r="Z22" s="150"/>
      <c r="AA22" s="140"/>
      <c r="AB22" s="150"/>
      <c r="AC22" s="140"/>
      <c r="AD22" s="150"/>
      <c r="AE22" s="140"/>
      <c r="AF22" s="150"/>
    </row>
    <row r="23" spans="1:32" ht="15" x14ac:dyDescent="0.2">
      <c r="B23" s="152" t="s">
        <v>133</v>
      </c>
      <c r="C23" s="138"/>
      <c r="D23" s="138"/>
      <c r="E23" s="138"/>
      <c r="F23" s="138"/>
      <c r="G23" s="138"/>
      <c r="H23" s="138"/>
      <c r="I23" s="138"/>
      <c r="J23" s="138"/>
      <c r="K23" s="138"/>
      <c r="L23" s="138"/>
      <c r="M23" s="138"/>
      <c r="N23" s="152"/>
      <c r="O23" s="138"/>
      <c r="P23" s="138"/>
      <c r="Q23" s="138"/>
      <c r="R23" s="138"/>
      <c r="S23" s="138"/>
      <c r="T23" s="138"/>
      <c r="U23" s="138"/>
      <c r="V23" s="138"/>
      <c r="W23" s="138"/>
      <c r="X23" s="138"/>
      <c r="Y23" s="138"/>
      <c r="Z23" s="138"/>
      <c r="AA23" s="138"/>
      <c r="AB23" s="138"/>
      <c r="AC23" s="138"/>
      <c r="AD23" s="138"/>
      <c r="AE23" s="138"/>
      <c r="AF23" s="138"/>
    </row>
    <row r="24" spans="1:32" ht="15" x14ac:dyDescent="0.2">
      <c r="B24" s="152" t="s">
        <v>134</v>
      </c>
      <c r="C24" s="138"/>
      <c r="D24" s="138"/>
      <c r="E24" s="138"/>
      <c r="F24" s="138"/>
      <c r="G24" s="138"/>
      <c r="H24" s="138"/>
      <c r="I24" s="138"/>
      <c r="J24" s="138"/>
      <c r="K24" s="138"/>
      <c r="L24" s="138"/>
      <c r="M24" s="138"/>
      <c r="N24" s="152"/>
      <c r="O24" s="138"/>
      <c r="P24" s="138"/>
      <c r="Q24" s="138"/>
      <c r="R24" s="138"/>
      <c r="S24" s="138"/>
      <c r="T24" s="138"/>
      <c r="U24" s="138"/>
      <c r="V24" s="138"/>
      <c r="W24" s="138"/>
      <c r="X24" s="138"/>
      <c r="Y24" s="138"/>
      <c r="Z24" s="138"/>
      <c r="AA24" s="138"/>
      <c r="AB24" s="138"/>
      <c r="AC24" s="138"/>
      <c r="AD24" s="138"/>
      <c r="AE24" s="138"/>
      <c r="AF24" s="138"/>
    </row>
    <row r="25" spans="1:32" ht="15" x14ac:dyDescent="0.2">
      <c r="B25" s="138" t="s">
        <v>265</v>
      </c>
      <c r="C25" s="138"/>
      <c r="D25" s="138"/>
      <c r="E25" s="138"/>
      <c r="F25" s="138"/>
      <c r="G25" s="138"/>
      <c r="H25" s="138"/>
      <c r="I25" s="138"/>
      <c r="J25" s="138"/>
      <c r="K25" s="138"/>
      <c r="L25" s="152"/>
      <c r="M25" s="138"/>
      <c r="N25" s="138"/>
      <c r="O25" s="138"/>
      <c r="P25" s="138"/>
      <c r="Q25" s="138"/>
      <c r="R25" s="138"/>
      <c r="S25" s="138"/>
      <c r="T25" s="138"/>
      <c r="U25" s="138"/>
      <c r="V25" s="138"/>
      <c r="W25" s="138"/>
      <c r="X25" s="138"/>
      <c r="Y25" s="138"/>
      <c r="Z25" s="138"/>
      <c r="AA25" s="138"/>
      <c r="AB25" s="138"/>
      <c r="AC25" s="138"/>
      <c r="AD25" s="138"/>
      <c r="AE25" s="138"/>
      <c r="AF25" s="138"/>
    </row>
    <row r="26" spans="1:32" x14ac:dyDescent="0.2">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row>
    <row r="27" spans="1:32" x14ac:dyDescent="0.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row>
    <row r="28" spans="1:32" x14ac:dyDescent="0.2">
      <c r="B28" s="141"/>
      <c r="C28" s="141"/>
      <c r="D28" s="141" t="s">
        <v>266</v>
      </c>
      <c r="E28" s="141"/>
      <c r="F28" s="138" t="s">
        <v>146</v>
      </c>
      <c r="G28" s="138"/>
      <c r="H28" s="138"/>
      <c r="I28" s="141"/>
      <c r="J28" s="138" t="s">
        <v>147</v>
      </c>
      <c r="K28" s="138"/>
      <c r="L28" s="138"/>
      <c r="M28" s="141"/>
      <c r="N28" s="138" t="s">
        <v>148</v>
      </c>
      <c r="O28" s="138"/>
      <c r="P28" s="138"/>
      <c r="Q28" s="141"/>
      <c r="R28" s="138" t="s">
        <v>150</v>
      </c>
      <c r="S28" s="138"/>
      <c r="T28" s="138"/>
      <c r="U28" s="141"/>
      <c r="V28" s="138" t="s">
        <v>267</v>
      </c>
      <c r="W28" s="138"/>
      <c r="X28" s="138"/>
      <c r="Y28" s="141"/>
      <c r="Z28" s="138" t="s">
        <v>152</v>
      </c>
      <c r="AA28" s="138"/>
      <c r="AB28" s="138"/>
      <c r="AC28" s="141"/>
      <c r="AD28" s="138" t="s">
        <v>270</v>
      </c>
      <c r="AE28" s="138"/>
      <c r="AF28" s="138"/>
    </row>
    <row r="29" spans="1:32" x14ac:dyDescent="0.2">
      <c r="B29" s="141" t="s">
        <v>271</v>
      </c>
      <c r="C29" s="141"/>
      <c r="D29" s="141" t="s">
        <v>272</v>
      </c>
      <c r="E29" s="141"/>
      <c r="F29" s="142" t="s">
        <v>255</v>
      </c>
      <c r="G29" s="142"/>
      <c r="H29" s="142"/>
      <c r="I29" s="141"/>
      <c r="J29" s="142" t="s">
        <v>255</v>
      </c>
      <c r="K29" s="142"/>
      <c r="L29" s="142"/>
      <c r="M29" s="141"/>
      <c r="N29" s="142" t="s">
        <v>255</v>
      </c>
      <c r="O29" s="142"/>
      <c r="P29" s="142"/>
      <c r="Q29" s="141"/>
      <c r="R29" s="142" t="s">
        <v>255</v>
      </c>
      <c r="S29" s="142"/>
      <c r="T29" s="142"/>
      <c r="U29" s="141"/>
      <c r="V29" s="142" t="s">
        <v>255</v>
      </c>
      <c r="W29" s="142"/>
      <c r="X29" s="142"/>
      <c r="Y29" s="141"/>
      <c r="Z29" s="142" t="s">
        <v>255</v>
      </c>
      <c r="AA29" s="142"/>
      <c r="AB29" s="142"/>
      <c r="AC29" s="141"/>
      <c r="AD29" s="142" t="s">
        <v>255</v>
      </c>
      <c r="AE29" s="142"/>
      <c r="AF29" s="142"/>
    </row>
    <row r="30" spans="1:32" x14ac:dyDescent="0.2">
      <c r="B30" s="141" t="s">
        <v>273</v>
      </c>
      <c r="C30" s="141"/>
      <c r="D30" s="141" t="s">
        <v>274</v>
      </c>
      <c r="E30" s="141"/>
      <c r="F30" s="664" t="s">
        <v>275</v>
      </c>
      <c r="G30" s="664"/>
      <c r="H30" s="664" t="s">
        <v>276</v>
      </c>
      <c r="I30" s="141"/>
      <c r="J30" s="141" t="s">
        <v>275</v>
      </c>
      <c r="K30" s="141"/>
      <c r="L30" s="141" t="s">
        <v>276</v>
      </c>
      <c r="M30" s="141"/>
      <c r="N30" s="141" t="s">
        <v>275</v>
      </c>
      <c r="O30" s="141"/>
      <c r="P30" s="141" t="s">
        <v>276</v>
      </c>
      <c r="Q30" s="141"/>
      <c r="R30" s="141" t="s">
        <v>275</v>
      </c>
      <c r="S30" s="141"/>
      <c r="T30" s="141" t="s">
        <v>276</v>
      </c>
      <c r="U30" s="141"/>
      <c r="V30" s="141" t="s">
        <v>275</v>
      </c>
      <c r="W30" s="141"/>
      <c r="X30" s="141" t="s">
        <v>276</v>
      </c>
      <c r="Y30" s="141"/>
      <c r="Z30" s="141" t="s">
        <v>275</v>
      </c>
      <c r="AA30" s="141"/>
      <c r="AB30" s="141" t="s">
        <v>276</v>
      </c>
      <c r="AC30" s="141"/>
      <c r="AD30" s="141" t="s">
        <v>275</v>
      </c>
      <c r="AE30" s="141"/>
      <c r="AF30" s="141" t="s">
        <v>276</v>
      </c>
    </row>
    <row r="31" spans="1:32" x14ac:dyDescent="0.2">
      <c r="B31" s="143">
        <v>-1</v>
      </c>
      <c r="C31" s="144"/>
      <c r="D31" s="143">
        <v>-2</v>
      </c>
      <c r="E31" s="144"/>
      <c r="F31" s="665">
        <v>-3</v>
      </c>
      <c r="G31" s="666"/>
      <c r="H31" s="667" t="s">
        <v>277</v>
      </c>
      <c r="I31" s="144"/>
      <c r="J31" s="143">
        <v>-5</v>
      </c>
      <c r="K31" s="144"/>
      <c r="L31" s="143" t="s">
        <v>278</v>
      </c>
      <c r="M31" s="144"/>
      <c r="N31" s="143">
        <v>-7</v>
      </c>
      <c r="O31" s="144"/>
      <c r="P31" s="143" t="s">
        <v>279</v>
      </c>
      <c r="Q31" s="144"/>
      <c r="R31" s="143">
        <v>-9</v>
      </c>
      <c r="S31" s="144"/>
      <c r="T31" s="143" t="s">
        <v>280</v>
      </c>
      <c r="U31" s="144"/>
      <c r="V31" s="143">
        <v>-11</v>
      </c>
      <c r="W31" s="144"/>
      <c r="X31" s="143" t="s">
        <v>281</v>
      </c>
      <c r="Y31" s="144"/>
      <c r="Z31" s="143">
        <v>-13</v>
      </c>
      <c r="AA31" s="144"/>
      <c r="AB31" s="143" t="s">
        <v>282</v>
      </c>
      <c r="AC31" s="144"/>
      <c r="AD31" s="143">
        <v>-15</v>
      </c>
      <c r="AE31" s="144"/>
      <c r="AF31" s="143">
        <v>-16</v>
      </c>
    </row>
    <row r="32" spans="1:32" x14ac:dyDescent="0.2">
      <c r="B32" s="140"/>
      <c r="C32" s="140"/>
      <c r="D32" s="140"/>
      <c r="E32" s="140"/>
      <c r="F32" s="668"/>
      <c r="G32" s="669"/>
      <c r="H32" s="669"/>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row>
    <row r="33" spans="1:32" x14ac:dyDescent="0.2">
      <c r="A33" s="204">
        <v>1</v>
      </c>
      <c r="B33" s="140" t="s">
        <v>283</v>
      </c>
      <c r="C33" s="140"/>
      <c r="D33" s="153">
        <v>1</v>
      </c>
      <c r="E33" s="140"/>
      <c r="F33" s="670">
        <f>F11+F12-L67</f>
        <v>83715</v>
      </c>
      <c r="G33" s="669" t="s">
        <v>32</v>
      </c>
      <c r="H33" s="671">
        <f>ROUND(+F33*$D33,0)</f>
        <v>83715</v>
      </c>
      <c r="I33" s="140"/>
      <c r="J33" s="147">
        <f>J11</f>
        <v>4603</v>
      </c>
      <c r="K33" s="140"/>
      <c r="L33" s="147">
        <f>ROUND(+J33*$D33,0)</f>
        <v>4603</v>
      </c>
      <c r="M33" s="140"/>
      <c r="N33" s="147">
        <f>N11</f>
        <v>6</v>
      </c>
      <c r="O33" s="140"/>
      <c r="P33" s="147">
        <f>ROUND(+N33*$D33,0)</f>
        <v>6</v>
      </c>
      <c r="Q33" s="140"/>
      <c r="R33" s="147">
        <f>R11</f>
        <v>125</v>
      </c>
      <c r="S33" s="140"/>
      <c r="T33" s="147">
        <f>ROUND(+R33*$D33,0)</f>
        <v>125</v>
      </c>
      <c r="U33" s="140"/>
      <c r="V33" s="147">
        <f>V11</f>
        <v>0</v>
      </c>
      <c r="W33" s="140"/>
      <c r="X33" s="147">
        <f>ROUND(+V33*$D33,0)</f>
        <v>0</v>
      </c>
      <c r="Y33" s="140"/>
      <c r="Z33" s="147">
        <v>0</v>
      </c>
      <c r="AA33" s="140"/>
      <c r="AB33" s="147">
        <f>ROUND(+Z33*$D33,0)</f>
        <v>0</v>
      </c>
      <c r="AC33" s="140"/>
      <c r="AD33" s="147">
        <f>F33+J33+N33+R33+V33+Z33</f>
        <v>88449</v>
      </c>
      <c r="AE33" s="140"/>
      <c r="AF33" s="147">
        <f>H33+L33+P33+T33+X33+AB33</f>
        <v>88449</v>
      </c>
    </row>
    <row r="34" spans="1:32" ht="10.7" customHeight="1" x14ac:dyDescent="0.2">
      <c r="A34" s="204"/>
      <c r="B34" s="140"/>
      <c r="C34" s="140"/>
      <c r="D34" s="153"/>
      <c r="E34" s="140"/>
      <c r="F34" s="668"/>
      <c r="G34" s="669"/>
      <c r="H34" s="671"/>
      <c r="I34" s="140"/>
      <c r="J34" s="140"/>
      <c r="K34" s="140"/>
      <c r="L34" s="147"/>
      <c r="M34" s="140"/>
      <c r="N34" s="140"/>
      <c r="O34" s="140"/>
      <c r="P34" s="147"/>
      <c r="Q34" s="140"/>
      <c r="R34" s="140"/>
      <c r="S34" s="140"/>
      <c r="T34" s="147"/>
      <c r="U34" s="140"/>
      <c r="V34" s="140"/>
      <c r="W34" s="140"/>
      <c r="X34" s="147"/>
      <c r="Y34" s="140"/>
      <c r="Z34" s="140"/>
      <c r="AA34" s="140"/>
      <c r="AB34" s="147"/>
      <c r="AC34" s="140"/>
      <c r="AD34" s="140"/>
      <c r="AE34" s="140"/>
      <c r="AF34" s="140"/>
    </row>
    <row r="35" spans="1:32" x14ac:dyDescent="0.2">
      <c r="A35" s="204">
        <v>1.17</v>
      </c>
      <c r="B35" s="140" t="s">
        <v>284</v>
      </c>
      <c r="C35" s="140"/>
      <c r="D35" s="153">
        <v>2</v>
      </c>
      <c r="E35" s="140"/>
      <c r="F35" s="670">
        <f>F13+L67/2</f>
        <v>19859</v>
      </c>
      <c r="G35" s="669" t="s">
        <v>32</v>
      </c>
      <c r="H35" s="671">
        <f>ROUND(+F35*$D35,0)</f>
        <v>39718</v>
      </c>
      <c r="I35" s="140"/>
      <c r="J35" s="147">
        <f>J13</f>
        <v>2425</v>
      </c>
      <c r="K35" s="140"/>
      <c r="L35" s="147">
        <f>ROUND(+J35*$D35,0)</f>
        <v>4850</v>
      </c>
      <c r="M35" s="140"/>
      <c r="N35" s="147">
        <f>N13</f>
        <v>4</v>
      </c>
      <c r="O35" s="140"/>
      <c r="P35" s="147">
        <f>ROUND(+N35*$D35,0)</f>
        <v>8</v>
      </c>
      <c r="Q35" s="140"/>
      <c r="R35" s="147">
        <f>R13</f>
        <v>182</v>
      </c>
      <c r="S35" s="140"/>
      <c r="T35" s="147">
        <f>ROUND(+R35*$D35,0)</f>
        <v>364</v>
      </c>
      <c r="U35" s="140"/>
      <c r="V35" s="147">
        <f>V13</f>
        <v>0</v>
      </c>
      <c r="W35" s="140"/>
      <c r="X35" s="147">
        <f>ROUND(+V35*$D35,0)</f>
        <v>0</v>
      </c>
      <c r="Y35" s="140"/>
      <c r="Z35" s="147">
        <f>Z13</f>
        <v>0</v>
      </c>
      <c r="AA35" s="140"/>
      <c r="AB35" s="147">
        <f>ROUND(+Z35*$D35,0)</f>
        <v>0</v>
      </c>
      <c r="AC35" s="140"/>
      <c r="AD35" s="147">
        <f>F35+J35+N35+R35+V35+Z35</f>
        <v>22470</v>
      </c>
      <c r="AE35" s="140"/>
      <c r="AF35" s="147">
        <f>H35+L35+P35+T35+X35+AB35</f>
        <v>44940</v>
      </c>
    </row>
    <row r="36" spans="1:32" ht="10.7" customHeight="1" x14ac:dyDescent="0.2">
      <c r="A36" s="204"/>
      <c r="B36" s="140"/>
      <c r="C36" s="140"/>
      <c r="D36" s="153"/>
      <c r="E36" s="140"/>
      <c r="F36" s="671"/>
      <c r="G36" s="669"/>
      <c r="H36" s="671"/>
      <c r="I36" s="140"/>
      <c r="J36" s="147"/>
      <c r="K36" s="140"/>
      <c r="L36" s="147"/>
      <c r="M36" s="140"/>
      <c r="N36" s="147"/>
      <c r="O36" s="140"/>
      <c r="P36" s="147"/>
      <c r="Q36" s="140"/>
      <c r="R36" s="147"/>
      <c r="S36" s="140"/>
      <c r="T36" s="147"/>
      <c r="U36" s="140"/>
      <c r="V36" s="147"/>
      <c r="W36" s="140"/>
      <c r="X36" s="147"/>
      <c r="Y36" s="140"/>
      <c r="Z36" s="147"/>
      <c r="AA36" s="140"/>
      <c r="AB36" s="147"/>
      <c r="AC36" s="140"/>
      <c r="AD36" s="147"/>
      <c r="AE36" s="140"/>
      <c r="AF36" s="140"/>
    </row>
    <row r="37" spans="1:32" x14ac:dyDescent="0.2">
      <c r="A37" s="204">
        <v>1.58</v>
      </c>
      <c r="B37" s="140" t="s">
        <v>285</v>
      </c>
      <c r="C37" s="140"/>
      <c r="D37" s="153">
        <v>2.2000000000000002</v>
      </c>
      <c r="E37" s="140"/>
      <c r="F37" s="671">
        <f>F14</f>
        <v>13</v>
      </c>
      <c r="G37" s="669"/>
      <c r="H37" s="671">
        <f>ROUND(+F37*$D37,0)</f>
        <v>29</v>
      </c>
      <c r="I37" s="140"/>
      <c r="J37" s="147">
        <f>J14</f>
        <v>176</v>
      </c>
      <c r="K37" s="140"/>
      <c r="L37" s="147">
        <f>ROUND(+J37*$D37,0)</f>
        <v>387</v>
      </c>
      <c r="M37" s="140"/>
      <c r="N37" s="147">
        <f>N14</f>
        <v>2</v>
      </c>
      <c r="O37" s="140"/>
      <c r="P37" s="147">
        <f>ROUND(+N37*$D37,0)</f>
        <v>4</v>
      </c>
      <c r="Q37" s="140"/>
      <c r="R37" s="147">
        <f>R14</f>
        <v>32</v>
      </c>
      <c r="S37" s="140"/>
      <c r="T37" s="147">
        <f>ROUND(+R37*$D37,0)</f>
        <v>70</v>
      </c>
      <c r="U37" s="140"/>
      <c r="V37" s="147">
        <f>V14</f>
        <v>5</v>
      </c>
      <c r="W37" s="140"/>
      <c r="X37" s="147">
        <f>ROUND(+V37*$D37,0)</f>
        <v>11</v>
      </c>
      <c r="Y37" s="140"/>
      <c r="Z37" s="147">
        <f>Z14</f>
        <v>0</v>
      </c>
      <c r="AA37" s="140"/>
      <c r="AB37" s="147">
        <f>ROUND(+Z37*$D37,0)</f>
        <v>0</v>
      </c>
      <c r="AC37" s="140"/>
      <c r="AD37" s="147">
        <f>F37+J37+N37+R37+V37+Z37</f>
        <v>228</v>
      </c>
      <c r="AE37" s="140"/>
      <c r="AF37" s="147">
        <f>H37+L37+P37+T37+X37+AB37</f>
        <v>501</v>
      </c>
    </row>
    <row r="38" spans="1:32" ht="9.75" customHeight="1" x14ac:dyDescent="0.2">
      <c r="A38" s="204"/>
      <c r="B38" s="140"/>
      <c r="C38" s="140"/>
      <c r="D38" s="153"/>
      <c r="E38" s="140"/>
      <c r="F38" s="671"/>
      <c r="G38" s="669"/>
      <c r="H38" s="671"/>
      <c r="I38" s="140"/>
      <c r="J38" s="147"/>
      <c r="K38" s="140"/>
      <c r="L38" s="147"/>
      <c r="M38" s="140"/>
      <c r="N38" s="147"/>
      <c r="O38" s="140"/>
      <c r="P38" s="147"/>
      <c r="Q38" s="140"/>
      <c r="R38" s="147"/>
      <c r="S38" s="140"/>
      <c r="T38" s="147"/>
      <c r="U38" s="140"/>
      <c r="V38" s="147"/>
      <c r="W38" s="140"/>
      <c r="X38" s="147"/>
      <c r="Y38" s="140"/>
      <c r="Z38" s="147"/>
      <c r="AA38" s="140"/>
      <c r="AB38" s="147"/>
      <c r="AC38" s="140"/>
      <c r="AD38" s="147"/>
      <c r="AE38" s="140"/>
      <c r="AF38" s="140"/>
    </row>
    <row r="39" spans="1:32" x14ac:dyDescent="0.2">
      <c r="A39" s="204">
        <v>2.04</v>
      </c>
      <c r="B39" s="140" t="s">
        <v>286</v>
      </c>
      <c r="C39" s="140"/>
      <c r="D39" s="153">
        <v>3.2</v>
      </c>
      <c r="E39" s="140"/>
      <c r="F39" s="671">
        <f>F15</f>
        <v>117</v>
      </c>
      <c r="G39" s="669"/>
      <c r="H39" s="671">
        <f>ROUND(+F39*$D39,0)</f>
        <v>374</v>
      </c>
      <c r="I39" s="140"/>
      <c r="J39" s="147">
        <f>J15</f>
        <v>2008</v>
      </c>
      <c r="K39" s="140"/>
      <c r="L39" s="147">
        <f>ROUND(+J39*$D39,0)</f>
        <v>6426</v>
      </c>
      <c r="M39" s="140"/>
      <c r="N39" s="147">
        <f>N15</f>
        <v>22</v>
      </c>
      <c r="O39" s="140"/>
      <c r="P39" s="147">
        <f>ROUND(+N39*$D39,0)</f>
        <v>70</v>
      </c>
      <c r="Q39" s="140"/>
      <c r="R39" s="147">
        <f>R15</f>
        <v>405</v>
      </c>
      <c r="S39" s="140"/>
      <c r="T39" s="147">
        <f>ROUND(+R39*$D39,0)</f>
        <v>1296</v>
      </c>
      <c r="U39" s="140"/>
      <c r="V39" s="147">
        <f>V15</f>
        <v>4</v>
      </c>
      <c r="W39" s="140"/>
      <c r="X39" s="147">
        <f>ROUND(+V39*$D39,0)</f>
        <v>13</v>
      </c>
      <c r="Y39" s="140"/>
      <c r="Z39" s="147">
        <f>'Sch E Fire'!K15</f>
        <v>75</v>
      </c>
      <c r="AA39" s="140"/>
      <c r="AB39" s="147">
        <f>ROUND(+Z39*$D39,0)</f>
        <v>240</v>
      </c>
      <c r="AC39" s="140"/>
      <c r="AD39" s="147">
        <f>F39+J39+N39+R39+V39+Z39</f>
        <v>2631</v>
      </c>
      <c r="AE39" s="140"/>
      <c r="AF39" s="147">
        <f>H39+L39+P39+T39+X39+AB39</f>
        <v>8419</v>
      </c>
    </row>
    <row r="40" spans="1:32" ht="9.75" customHeight="1" x14ac:dyDescent="0.2">
      <c r="A40" s="204"/>
      <c r="B40" s="140"/>
      <c r="C40" s="140"/>
      <c r="D40" s="153"/>
      <c r="E40" s="140"/>
      <c r="F40" s="671"/>
      <c r="G40" s="669"/>
      <c r="H40" s="671"/>
      <c r="I40" s="140"/>
      <c r="J40" s="147"/>
      <c r="K40" s="140"/>
      <c r="L40" s="147"/>
      <c r="M40" s="140"/>
      <c r="N40" s="147"/>
      <c r="O40" s="140"/>
      <c r="P40" s="147"/>
      <c r="Q40" s="140"/>
      <c r="R40" s="147"/>
      <c r="S40" s="140"/>
      <c r="T40" s="147"/>
      <c r="U40" s="140"/>
      <c r="V40" s="147"/>
      <c r="W40" s="140"/>
      <c r="X40" s="147"/>
      <c r="Y40" s="140"/>
      <c r="Z40" s="147"/>
      <c r="AA40" s="140"/>
      <c r="AB40" s="147"/>
      <c r="AC40" s="140"/>
      <c r="AD40" s="147"/>
      <c r="AE40" s="140"/>
      <c r="AF40" s="140"/>
    </row>
    <row r="41" spans="1:32" x14ac:dyDescent="0.2">
      <c r="A41" s="204">
        <v>2.88</v>
      </c>
      <c r="B41" s="140" t="s">
        <v>287</v>
      </c>
      <c r="C41" s="140"/>
      <c r="D41" s="153">
        <v>3.5</v>
      </c>
      <c r="E41" s="140"/>
      <c r="F41" s="671">
        <f>F16+F17</f>
        <v>0</v>
      </c>
      <c r="G41" s="669"/>
      <c r="H41" s="671">
        <f>ROUND(+F41*$D41,0)</f>
        <v>0</v>
      </c>
      <c r="I41" s="140"/>
      <c r="J41" s="147">
        <f>J16+J17</f>
        <v>31</v>
      </c>
      <c r="K41" s="140"/>
      <c r="L41" s="147">
        <f>ROUND(+J41*$D41,0)</f>
        <v>109</v>
      </c>
      <c r="M41" s="140"/>
      <c r="N41" s="147">
        <f>N16+N17</f>
        <v>10</v>
      </c>
      <c r="O41" s="140"/>
      <c r="P41" s="147">
        <f>ROUND(+N41*$D41,0)</f>
        <v>35</v>
      </c>
      <c r="Q41" s="140"/>
      <c r="R41" s="147">
        <f>R16+R17</f>
        <v>46</v>
      </c>
      <c r="S41" s="140"/>
      <c r="T41" s="147">
        <f>ROUND(+R41*$D41,0)</f>
        <v>161</v>
      </c>
      <c r="U41" s="140"/>
      <c r="V41" s="147">
        <f>V16+V17</f>
        <v>6</v>
      </c>
      <c r="W41" s="140"/>
      <c r="X41" s="147">
        <f>ROUND(+V41*$D41,0)</f>
        <v>21</v>
      </c>
      <c r="Y41" s="140"/>
      <c r="Z41" s="147">
        <f>'Sch E Fire'!K17</f>
        <v>479</v>
      </c>
      <c r="AA41" s="140"/>
      <c r="AB41" s="147">
        <f>ROUND(+Z41*$D41,0)</f>
        <v>1677</v>
      </c>
      <c r="AC41" s="140"/>
      <c r="AD41" s="147">
        <f>F41+J41+N41+R41+V41+Z41</f>
        <v>572</v>
      </c>
      <c r="AE41" s="140"/>
      <c r="AF41" s="147">
        <f>H41+L41+P41+T41+X41+AB41</f>
        <v>2003</v>
      </c>
    </row>
    <row r="42" spans="1:32" ht="9.75" customHeight="1" x14ac:dyDescent="0.2">
      <c r="A42" s="204"/>
      <c r="B42" s="140"/>
      <c r="C42" s="140"/>
      <c r="D42" s="153"/>
      <c r="E42" s="140"/>
      <c r="F42" s="671"/>
      <c r="G42" s="669"/>
      <c r="H42" s="671"/>
      <c r="I42" s="140"/>
      <c r="J42" s="147"/>
      <c r="K42" s="140"/>
      <c r="L42" s="147"/>
      <c r="M42" s="140"/>
      <c r="N42" s="147"/>
      <c r="O42" s="140"/>
      <c r="P42" s="147"/>
      <c r="Q42" s="140"/>
      <c r="R42" s="147"/>
      <c r="S42" s="140"/>
      <c r="T42" s="147"/>
      <c r="U42" s="140"/>
      <c r="V42" s="147"/>
      <c r="W42" s="140"/>
      <c r="X42" s="147"/>
      <c r="Y42" s="140"/>
      <c r="Z42" s="147"/>
      <c r="AA42" s="140"/>
      <c r="AB42" s="147"/>
      <c r="AC42" s="140"/>
      <c r="AD42" s="147"/>
      <c r="AE42" s="140"/>
      <c r="AF42" s="140"/>
    </row>
    <row r="43" spans="1:32" x14ac:dyDescent="0.2">
      <c r="A43" s="204">
        <v>4.24</v>
      </c>
      <c r="B43" s="140" t="s">
        <v>288</v>
      </c>
      <c r="C43" s="140"/>
      <c r="D43" s="153">
        <v>4</v>
      </c>
      <c r="E43" s="140"/>
      <c r="F43" s="147">
        <f>F18</f>
        <v>3</v>
      </c>
      <c r="G43" s="140"/>
      <c r="H43" s="147">
        <f>ROUND(+F43*$D43,0)</f>
        <v>12</v>
      </c>
      <c r="I43" s="140"/>
      <c r="J43" s="147">
        <f>J18</f>
        <v>14</v>
      </c>
      <c r="K43" s="140"/>
      <c r="L43" s="147">
        <f>ROUND(+J43*$D43,0)</f>
        <v>56</v>
      </c>
      <c r="M43" s="140"/>
      <c r="N43" s="147">
        <f>N18</f>
        <v>9</v>
      </c>
      <c r="O43" s="140"/>
      <c r="P43" s="147">
        <f>ROUND(+N43*$D43,0)</f>
        <v>36</v>
      </c>
      <c r="Q43" s="140"/>
      <c r="R43" s="147">
        <f>R18</f>
        <v>14</v>
      </c>
      <c r="S43" s="140"/>
      <c r="T43" s="147">
        <f>ROUND(+R43*$D43,0)</f>
        <v>56</v>
      </c>
      <c r="U43" s="140"/>
      <c r="V43" s="147">
        <f>V18</f>
        <v>4</v>
      </c>
      <c r="W43" s="140"/>
      <c r="X43" s="147">
        <f>ROUND(+V43*$D43,0)</f>
        <v>16</v>
      </c>
      <c r="Y43" s="140"/>
      <c r="Z43" s="147">
        <f>'Sch E Fire'!K18</f>
        <v>968</v>
      </c>
      <c r="AA43" s="140"/>
      <c r="AB43" s="147">
        <f>ROUND(+Z43*$D43,0)</f>
        <v>3872</v>
      </c>
      <c r="AC43" s="140"/>
      <c r="AD43" s="147">
        <f>F43+J43+N43+R43+V43+Z43</f>
        <v>1012</v>
      </c>
      <c r="AE43" s="140"/>
      <c r="AF43" s="147">
        <f>H43+L43+P43+T43+X43+AB43</f>
        <v>4048</v>
      </c>
    </row>
    <row r="44" spans="1:32" ht="9.75" customHeight="1" x14ac:dyDescent="0.2">
      <c r="A44" s="204"/>
      <c r="B44" s="140"/>
      <c r="C44" s="140"/>
      <c r="D44" s="153"/>
      <c r="E44" s="140"/>
      <c r="F44" s="147"/>
      <c r="G44" s="140"/>
      <c r="H44" s="147"/>
      <c r="I44" s="140"/>
      <c r="J44" s="147"/>
      <c r="K44" s="140"/>
      <c r="L44" s="147"/>
      <c r="M44" s="140"/>
      <c r="N44" s="147"/>
      <c r="O44" s="140"/>
      <c r="P44" s="147"/>
      <c r="Q44" s="140"/>
      <c r="R44" s="147"/>
      <c r="S44" s="140"/>
      <c r="T44" s="147"/>
      <c r="U44" s="140"/>
      <c r="V44" s="147"/>
      <c r="W44" s="140"/>
      <c r="X44" s="147"/>
      <c r="Y44" s="140"/>
      <c r="Z44" s="147"/>
      <c r="AA44" s="140"/>
      <c r="AB44" s="147"/>
      <c r="AC44" s="140"/>
      <c r="AD44" s="147"/>
      <c r="AE44" s="140"/>
      <c r="AF44" s="140"/>
    </row>
    <row r="45" spans="1:32" x14ac:dyDescent="0.2">
      <c r="A45" s="204">
        <v>6.98</v>
      </c>
      <c r="B45" s="140" t="s">
        <v>289</v>
      </c>
      <c r="C45" s="140"/>
      <c r="D45" s="153">
        <v>5.0999999999999996</v>
      </c>
      <c r="E45" s="140"/>
      <c r="F45" s="147">
        <f>F19</f>
        <v>1</v>
      </c>
      <c r="G45" s="140"/>
      <c r="H45" s="147">
        <f>ROUND(+F45*$D45,0)</f>
        <v>5</v>
      </c>
      <c r="I45" s="140"/>
      <c r="J45" s="147">
        <f>J19</f>
        <v>11</v>
      </c>
      <c r="K45" s="140"/>
      <c r="L45" s="147">
        <f>ROUND(+J45*$D45,0)</f>
        <v>56</v>
      </c>
      <c r="M45" s="140"/>
      <c r="N45" s="147">
        <f>N19</f>
        <v>0</v>
      </c>
      <c r="O45" s="140"/>
      <c r="P45" s="147">
        <f>ROUND(+N45*$D45,0)</f>
        <v>0</v>
      </c>
      <c r="Q45" s="140"/>
      <c r="R45" s="147">
        <f>R19</f>
        <v>2</v>
      </c>
      <c r="S45" s="140"/>
      <c r="T45" s="147">
        <f>ROUND(+R45*$D45,0)</f>
        <v>10</v>
      </c>
      <c r="U45" s="140"/>
      <c r="V45" s="147">
        <f>V19</f>
        <v>0</v>
      </c>
      <c r="W45" s="140"/>
      <c r="X45" s="147">
        <f>ROUND(+V45*$D45,0)</f>
        <v>0</v>
      </c>
      <c r="Y45" s="140"/>
      <c r="Z45" s="147">
        <f>'Sch E Fire'!K19</f>
        <v>320</v>
      </c>
      <c r="AA45" s="140"/>
      <c r="AB45" s="147">
        <f>ROUND(+Z45*$D45,0)</f>
        <v>1632</v>
      </c>
      <c r="AC45" s="140"/>
      <c r="AD45" s="147">
        <f>F45+J45+N45+R45+V45+Z45</f>
        <v>334</v>
      </c>
      <c r="AE45" s="140"/>
      <c r="AF45" s="147">
        <f>H45+L45+P45+T45+X45+AB45</f>
        <v>1703</v>
      </c>
    </row>
    <row r="46" spans="1:32" ht="9.75" customHeight="1" x14ac:dyDescent="0.2">
      <c r="A46" s="205"/>
      <c r="B46" s="140"/>
      <c r="C46" s="140"/>
      <c r="D46" s="153"/>
      <c r="E46" s="140"/>
      <c r="F46" s="147"/>
      <c r="G46" s="140"/>
      <c r="H46" s="147"/>
      <c r="I46" s="140"/>
      <c r="J46" s="147"/>
      <c r="K46" s="140"/>
      <c r="L46" s="147"/>
      <c r="M46" s="140"/>
      <c r="N46" s="147"/>
      <c r="O46" s="140"/>
      <c r="P46" s="147"/>
      <c r="Q46" s="140"/>
      <c r="R46" s="147"/>
      <c r="S46" s="140"/>
      <c r="T46" s="147"/>
      <c r="U46" s="140"/>
      <c r="V46" s="147"/>
      <c r="W46" s="140"/>
      <c r="X46" s="147"/>
      <c r="Y46" s="140"/>
      <c r="Z46" s="147"/>
      <c r="AA46" s="140"/>
      <c r="AB46" s="147"/>
      <c r="AC46" s="140"/>
      <c r="AD46" s="147"/>
      <c r="AE46" s="140"/>
      <c r="AF46" s="147"/>
    </row>
    <row r="47" spans="1:32" x14ac:dyDescent="0.2">
      <c r="A47" s="204">
        <v>9.5</v>
      </c>
      <c r="B47" s="206">
        <v>10</v>
      </c>
      <c r="C47" s="140"/>
      <c r="D47" s="153">
        <v>8.9</v>
      </c>
      <c r="E47" s="140"/>
      <c r="F47" s="147">
        <v>0</v>
      </c>
      <c r="G47" s="140"/>
      <c r="H47" s="147">
        <v>0</v>
      </c>
      <c r="I47" s="140"/>
      <c r="J47" s="147">
        <v>0</v>
      </c>
      <c r="K47" s="140"/>
      <c r="L47" s="147">
        <v>0</v>
      </c>
      <c r="M47" s="140"/>
      <c r="N47" s="147">
        <v>0</v>
      </c>
      <c r="O47" s="140"/>
      <c r="P47" s="147">
        <v>0</v>
      </c>
      <c r="Q47" s="140"/>
      <c r="R47" s="147">
        <v>0</v>
      </c>
      <c r="S47" s="140"/>
      <c r="T47" s="147">
        <v>0</v>
      </c>
      <c r="U47" s="140"/>
      <c r="V47" s="147">
        <v>0</v>
      </c>
      <c r="W47" s="140"/>
      <c r="X47" s="147">
        <v>0</v>
      </c>
      <c r="Y47" s="140"/>
      <c r="Z47" s="147">
        <f>'Sch E Fire'!K20</f>
        <v>13</v>
      </c>
      <c r="AA47" s="140"/>
      <c r="AB47" s="147">
        <f>ROUND(+Z47*$D47,0)</f>
        <v>116</v>
      </c>
      <c r="AC47" s="140"/>
      <c r="AD47" s="147">
        <f>F47+J47+N47+R47+V47+Z47</f>
        <v>13</v>
      </c>
      <c r="AE47" s="140"/>
      <c r="AF47" s="147">
        <f>H47+L47+P47+T47+X47+AB47</f>
        <v>116</v>
      </c>
    </row>
    <row r="48" spans="1:32" ht="10.7" customHeight="1" x14ac:dyDescent="0.2">
      <c r="A48" s="204"/>
      <c r="B48" s="206"/>
      <c r="C48" s="140"/>
      <c r="D48" s="153"/>
      <c r="E48" s="140"/>
      <c r="F48" s="147"/>
      <c r="G48" s="140"/>
      <c r="H48" s="147"/>
      <c r="I48" s="140"/>
      <c r="J48" s="147"/>
      <c r="K48" s="140"/>
      <c r="L48" s="147"/>
      <c r="M48" s="140"/>
      <c r="N48" s="147"/>
      <c r="O48" s="140"/>
      <c r="P48" s="147"/>
      <c r="Q48" s="140"/>
      <c r="R48" s="147"/>
      <c r="S48" s="140"/>
      <c r="T48" s="147"/>
      <c r="U48" s="140"/>
      <c r="V48" s="147"/>
      <c r="W48" s="140"/>
      <c r="X48" s="147"/>
      <c r="Y48" s="140"/>
      <c r="Z48" s="147"/>
      <c r="AA48" s="140"/>
      <c r="AB48" s="147"/>
      <c r="AC48" s="140"/>
      <c r="AD48" s="147"/>
      <c r="AE48" s="140"/>
      <c r="AF48" s="147"/>
    </row>
    <row r="49" spans="1:32" x14ac:dyDescent="0.2">
      <c r="A49" s="204">
        <v>12.16</v>
      </c>
      <c r="B49" s="206">
        <v>12</v>
      </c>
      <c r="C49" s="140"/>
      <c r="D49" s="153">
        <v>9.5</v>
      </c>
      <c r="E49" s="140"/>
      <c r="F49" s="147">
        <v>0</v>
      </c>
      <c r="G49" s="140"/>
      <c r="H49" s="147">
        <v>0</v>
      </c>
      <c r="I49" s="140"/>
      <c r="J49" s="147">
        <v>0</v>
      </c>
      <c r="K49" s="140"/>
      <c r="L49" s="147">
        <v>0</v>
      </c>
      <c r="M49" s="140"/>
      <c r="N49" s="147">
        <v>0</v>
      </c>
      <c r="O49" s="140"/>
      <c r="P49" s="147">
        <v>0</v>
      </c>
      <c r="Q49" s="140"/>
      <c r="R49" s="147">
        <v>0</v>
      </c>
      <c r="S49" s="140"/>
      <c r="T49" s="147">
        <v>0</v>
      </c>
      <c r="U49" s="140"/>
      <c r="V49" s="147">
        <v>0</v>
      </c>
      <c r="W49" s="140"/>
      <c r="X49" s="147">
        <v>0</v>
      </c>
      <c r="Y49" s="140"/>
      <c r="Z49" s="147">
        <f>'Sch E Fire'!K21</f>
        <v>6</v>
      </c>
      <c r="AA49" s="140"/>
      <c r="AB49" s="147">
        <f>ROUND(+Z49*$D49,0)</f>
        <v>57</v>
      </c>
      <c r="AC49" s="140"/>
      <c r="AD49" s="147">
        <f>F49+J49+N49+R49+V49+Z49</f>
        <v>6</v>
      </c>
      <c r="AE49" s="140"/>
      <c r="AF49" s="147">
        <f>H49+L49+P49+T49+X49+AB49</f>
        <v>57</v>
      </c>
    </row>
    <row r="50" spans="1:32" ht="10.7" customHeight="1" x14ac:dyDescent="0.2">
      <c r="A50" s="204"/>
      <c r="B50" s="206"/>
      <c r="C50" s="140"/>
      <c r="D50" s="153"/>
      <c r="E50" s="140"/>
      <c r="F50" s="147"/>
      <c r="G50" s="140"/>
      <c r="H50" s="147"/>
      <c r="I50" s="140"/>
      <c r="J50" s="147"/>
      <c r="K50" s="140"/>
      <c r="L50" s="147"/>
      <c r="M50" s="140"/>
      <c r="N50" s="147"/>
      <c r="O50" s="140"/>
      <c r="P50" s="147"/>
      <c r="Q50" s="140"/>
      <c r="R50" s="147"/>
      <c r="S50" s="140"/>
      <c r="T50" s="147"/>
      <c r="U50" s="140"/>
      <c r="V50" s="147"/>
      <c r="W50" s="140"/>
      <c r="X50" s="147"/>
      <c r="Y50" s="140"/>
      <c r="Z50" s="147"/>
      <c r="AA50" s="140"/>
      <c r="AB50" s="147"/>
      <c r="AC50" s="140"/>
      <c r="AD50" s="147"/>
      <c r="AE50" s="140"/>
      <c r="AF50" s="147"/>
    </row>
    <row r="51" spans="1:32" x14ac:dyDescent="0.2">
      <c r="A51" s="204">
        <v>16.690000000000001</v>
      </c>
      <c r="B51" s="206" t="s">
        <v>33</v>
      </c>
      <c r="C51" s="140"/>
      <c r="D51" s="153">
        <v>12.7</v>
      </c>
      <c r="E51" s="140"/>
      <c r="F51" s="147">
        <v>0</v>
      </c>
      <c r="G51" s="140"/>
      <c r="H51" s="147">
        <v>0</v>
      </c>
      <c r="I51" s="140"/>
      <c r="J51" s="147">
        <v>0</v>
      </c>
      <c r="K51" s="140"/>
      <c r="L51" s="147">
        <v>0</v>
      </c>
      <c r="M51" s="140"/>
      <c r="N51" s="147">
        <v>0</v>
      </c>
      <c r="O51" s="140"/>
      <c r="P51" s="147">
        <v>0</v>
      </c>
      <c r="Q51" s="140"/>
      <c r="R51" s="147">
        <v>0</v>
      </c>
      <c r="S51" s="140"/>
      <c r="T51" s="147">
        <v>0</v>
      </c>
      <c r="U51" s="140"/>
      <c r="V51" s="147">
        <v>0</v>
      </c>
      <c r="W51" s="140"/>
      <c r="X51" s="147">
        <v>0</v>
      </c>
      <c r="Y51" s="140"/>
      <c r="Z51" s="147">
        <f>'Sch E Fire'!K23</f>
        <v>1</v>
      </c>
      <c r="AA51" s="140"/>
      <c r="AB51" s="147">
        <f>ROUND(+Z51*$D51,0)</f>
        <v>13</v>
      </c>
      <c r="AC51" s="140"/>
      <c r="AD51" s="147">
        <f>F51+J51+N51+R51+V51+Z51</f>
        <v>1</v>
      </c>
      <c r="AE51" s="140"/>
      <c r="AF51" s="147">
        <f>H51+L51+P51+T51+X51+AB51</f>
        <v>13</v>
      </c>
    </row>
    <row r="52" spans="1:32" x14ac:dyDescent="0.2">
      <c r="B52" s="140"/>
      <c r="C52" s="140"/>
      <c r="D52" s="140"/>
      <c r="E52" s="140"/>
      <c r="F52" s="148"/>
      <c r="G52" s="140"/>
      <c r="H52" s="148"/>
      <c r="I52" s="140"/>
      <c r="J52" s="148"/>
      <c r="K52" s="140"/>
      <c r="L52" s="148"/>
      <c r="M52" s="140"/>
      <c r="N52" s="148"/>
      <c r="O52" s="140"/>
      <c r="P52" s="148"/>
      <c r="Q52" s="140"/>
      <c r="R52" s="148"/>
      <c r="S52" s="140"/>
      <c r="T52" s="148"/>
      <c r="U52" s="140"/>
      <c r="V52" s="148"/>
      <c r="W52" s="140"/>
      <c r="X52" s="148"/>
      <c r="Y52" s="140"/>
      <c r="Z52" s="148"/>
      <c r="AA52" s="140"/>
      <c r="AB52" s="148"/>
      <c r="AC52" s="140"/>
      <c r="AD52" s="148"/>
      <c r="AE52" s="140"/>
      <c r="AF52" s="148"/>
    </row>
    <row r="53" spans="1:32" ht="13.5" thickBot="1" x14ac:dyDescent="0.25">
      <c r="B53" s="140" t="s">
        <v>270</v>
      </c>
      <c r="C53" s="140"/>
      <c r="D53" s="140"/>
      <c r="E53" s="140"/>
      <c r="F53" s="147">
        <f>SUM(F33:F45)</f>
        <v>103708</v>
      </c>
      <c r="G53" s="140"/>
      <c r="H53" s="147">
        <f>SUM(H33:H45)</f>
        <v>123853</v>
      </c>
      <c r="I53" s="140"/>
      <c r="J53" s="147">
        <f>SUM(J33:J45)</f>
        <v>9268</v>
      </c>
      <c r="K53" s="140"/>
      <c r="L53" s="147">
        <f>SUM(L33:L45)</f>
        <v>16487</v>
      </c>
      <c r="M53" s="140"/>
      <c r="N53" s="147">
        <f>SUM(N33:N45)</f>
        <v>53</v>
      </c>
      <c r="O53" s="140"/>
      <c r="P53" s="147">
        <f>SUM(P33:P45)</f>
        <v>159</v>
      </c>
      <c r="Q53" s="140"/>
      <c r="R53" s="147">
        <f>SUM(R33:R45)</f>
        <v>806</v>
      </c>
      <c r="S53" s="140"/>
      <c r="T53" s="147">
        <f>SUM(T33:T45)</f>
        <v>2082</v>
      </c>
      <c r="U53" s="140"/>
      <c r="V53" s="147">
        <f>SUM(V33:V45)</f>
        <v>19</v>
      </c>
      <c r="W53" s="140"/>
      <c r="X53" s="147">
        <f>SUM(X33:X45)</f>
        <v>61</v>
      </c>
      <c r="Y53" s="140"/>
      <c r="Z53" s="149">
        <f>SUM(Z33:Z52)</f>
        <v>1862</v>
      </c>
      <c r="AA53" s="140"/>
      <c r="AB53" s="147">
        <f>SUM(AB33:AB52)</f>
        <v>7607</v>
      </c>
      <c r="AC53" s="140"/>
      <c r="AD53" s="147">
        <f>SUM(AD33:AD52)</f>
        <v>115716</v>
      </c>
      <c r="AE53" s="140"/>
      <c r="AF53" s="147">
        <f>SUM(AF33:AF52)</f>
        <v>150249</v>
      </c>
    </row>
    <row r="54" spans="1:32" ht="13.5" thickTop="1" x14ac:dyDescent="0.2">
      <c r="B54" s="140"/>
      <c r="C54" s="140"/>
      <c r="D54" s="140"/>
      <c r="E54" s="140"/>
      <c r="F54" s="150"/>
      <c r="G54" s="140"/>
      <c r="H54" s="150"/>
      <c r="I54" s="140"/>
      <c r="J54" s="150"/>
      <c r="K54" s="140"/>
      <c r="L54" s="150"/>
      <c r="M54" s="140"/>
      <c r="N54" s="150"/>
      <c r="O54" s="140"/>
      <c r="P54" s="150"/>
      <c r="Q54" s="140"/>
      <c r="R54" s="150"/>
      <c r="S54" s="140"/>
      <c r="T54" s="150"/>
      <c r="U54" s="140"/>
      <c r="V54" s="150"/>
      <c r="W54" s="140"/>
      <c r="X54" s="150"/>
      <c r="Y54" s="140"/>
      <c r="Z54" s="151"/>
      <c r="AA54" s="140"/>
      <c r="AB54" s="150"/>
      <c r="AC54" s="140"/>
      <c r="AD54" s="150"/>
      <c r="AE54" s="140"/>
      <c r="AF54" s="150"/>
    </row>
    <row r="55" spans="1:32" ht="15" x14ac:dyDescent="0.2">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5"/>
      <c r="AF55" s="155"/>
    </row>
    <row r="56" spans="1:32" ht="15" x14ac:dyDescent="0.2">
      <c r="B56" s="154"/>
      <c r="C56" s="154"/>
      <c r="D56" s="154"/>
      <c r="E56" s="154"/>
      <c r="F56" s="282" t="s">
        <v>693</v>
      </c>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39"/>
      <c r="AF56" s="139"/>
    </row>
    <row r="57" spans="1:32" ht="15" x14ac:dyDescent="0.2">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39"/>
      <c r="AF57" s="139"/>
    </row>
    <row r="58" spans="1:32" ht="15" x14ac:dyDescent="0.2">
      <c r="B58" s="154"/>
      <c r="C58" s="154"/>
      <c r="D58" s="154"/>
      <c r="E58" s="154"/>
      <c r="F58" s="207"/>
      <c r="G58" s="207"/>
      <c r="H58" s="207"/>
      <c r="I58" s="207"/>
      <c r="J58" s="208"/>
      <c r="K58" s="207"/>
      <c r="L58" s="207"/>
      <c r="M58" s="154"/>
      <c r="N58" s="154"/>
      <c r="O58" s="154"/>
      <c r="P58" s="154"/>
      <c r="Q58" s="154"/>
      <c r="R58" s="154"/>
      <c r="S58" s="154"/>
      <c r="T58" s="154"/>
      <c r="U58" s="154"/>
      <c r="V58" s="154"/>
      <c r="W58" s="154"/>
      <c r="X58" s="154"/>
      <c r="Y58" s="154"/>
      <c r="Z58" s="154"/>
      <c r="AA58" s="154"/>
      <c r="AB58" s="154"/>
      <c r="AC58" s="154"/>
      <c r="AD58" s="154"/>
      <c r="AE58" s="139"/>
      <c r="AF58" s="139"/>
    </row>
    <row r="59" spans="1:32" ht="15" x14ac:dyDescent="0.2">
      <c r="B59" s="154"/>
      <c r="C59" s="154"/>
      <c r="D59" s="154"/>
      <c r="E59" s="154"/>
      <c r="F59" s="209"/>
      <c r="G59" s="209"/>
      <c r="H59" s="209"/>
      <c r="I59" s="207"/>
      <c r="J59" s="210"/>
      <c r="K59" s="208"/>
      <c r="L59" s="210"/>
      <c r="M59" s="154"/>
      <c r="N59" s="154"/>
      <c r="O59" s="154"/>
      <c r="P59" s="154"/>
      <c r="Q59" s="154"/>
      <c r="R59" s="154"/>
      <c r="S59" s="154"/>
      <c r="T59" s="154"/>
      <c r="U59" s="154"/>
      <c r="V59" s="154"/>
      <c r="W59" s="154"/>
      <c r="X59" s="154"/>
      <c r="Y59" s="154"/>
      <c r="Z59" s="154"/>
      <c r="AA59" s="154"/>
      <c r="AB59" s="154"/>
      <c r="AC59" s="154"/>
      <c r="AD59" s="154"/>
      <c r="AE59" s="139"/>
      <c r="AF59" s="139"/>
    </row>
    <row r="60" spans="1:32" ht="15" x14ac:dyDescent="0.2">
      <c r="B60" s="154"/>
      <c r="C60" s="154"/>
      <c r="D60" s="154"/>
      <c r="E60" s="154"/>
      <c r="F60" s="209"/>
      <c r="G60" s="209"/>
      <c r="H60" s="209"/>
      <c r="I60" s="207"/>
      <c r="J60" s="210"/>
      <c r="K60" s="208"/>
      <c r="L60" s="210"/>
      <c r="M60" s="154"/>
      <c r="N60" s="154"/>
      <c r="O60" s="154"/>
      <c r="P60" s="154"/>
      <c r="Q60" s="154"/>
      <c r="R60" s="154"/>
      <c r="S60" s="154"/>
      <c r="T60" s="154"/>
      <c r="U60" s="154"/>
      <c r="V60" s="154"/>
      <c r="W60" s="154"/>
      <c r="X60" s="154"/>
      <c r="Y60" s="154"/>
      <c r="Z60" s="154"/>
      <c r="AA60" s="154"/>
      <c r="AB60" s="154"/>
      <c r="AC60" s="154"/>
      <c r="AD60" s="154"/>
      <c r="AE60" s="139"/>
      <c r="AF60" s="139"/>
    </row>
    <row r="61" spans="1:32" ht="15" x14ac:dyDescent="0.2">
      <c r="B61" s="154"/>
      <c r="C61" s="154"/>
      <c r="D61" s="222"/>
      <c r="E61" s="154"/>
      <c r="F61" s="207"/>
      <c r="G61" s="207"/>
      <c r="H61" s="207"/>
      <c r="I61" s="207"/>
      <c r="J61" s="207"/>
      <c r="K61" s="207"/>
      <c r="L61" s="207"/>
      <c r="M61" s="154"/>
      <c r="N61" s="154"/>
      <c r="O61" s="154"/>
      <c r="P61" s="154"/>
      <c r="Q61" s="154"/>
      <c r="R61" s="154"/>
      <c r="S61" s="154"/>
      <c r="T61" s="154"/>
      <c r="U61" s="154"/>
      <c r="V61" s="154"/>
      <c r="W61" s="154"/>
      <c r="X61" s="154"/>
      <c r="Y61" s="154"/>
      <c r="Z61" s="154"/>
      <c r="AA61" s="154"/>
      <c r="AB61" s="154"/>
      <c r="AC61" s="154"/>
      <c r="AD61" s="154"/>
      <c r="AE61" s="139"/>
      <c r="AF61" s="139"/>
    </row>
    <row r="62" spans="1:32" ht="15" x14ac:dyDescent="0.2">
      <c r="B62" s="154"/>
      <c r="C62" s="154"/>
      <c r="D62" s="291"/>
      <c r="E62" s="154"/>
      <c r="F62" s="141"/>
      <c r="G62" s="154"/>
      <c r="H62" s="140"/>
      <c r="I62" s="154"/>
      <c r="J62" s="140"/>
      <c r="K62" s="154"/>
      <c r="L62" s="153"/>
      <c r="M62" s="154"/>
      <c r="N62" s="154"/>
      <c r="O62" s="154"/>
      <c r="P62" s="140"/>
      <c r="Q62" s="154"/>
      <c r="R62" s="154"/>
      <c r="S62" s="154"/>
      <c r="T62" s="154"/>
      <c r="U62" s="154"/>
      <c r="V62" s="154"/>
      <c r="W62" s="154"/>
      <c r="X62" s="154"/>
      <c r="Y62" s="154"/>
      <c r="Z62" s="154"/>
      <c r="AA62" s="154"/>
      <c r="AB62" s="154"/>
      <c r="AC62" s="154"/>
      <c r="AD62" s="154"/>
      <c r="AE62" s="139"/>
      <c r="AF62" s="139"/>
    </row>
    <row r="63" spans="1:32" s="340" customFormat="1" ht="15" x14ac:dyDescent="0.2">
      <c r="B63" s="154"/>
      <c r="C63" s="154"/>
      <c r="D63" s="291"/>
      <c r="E63" s="154"/>
      <c r="F63" s="141"/>
      <c r="G63" s="154"/>
      <c r="H63" s="140"/>
      <c r="I63" s="154"/>
      <c r="J63" s="140"/>
      <c r="K63" s="154"/>
      <c r="L63" s="153"/>
      <c r="M63" s="154"/>
      <c r="N63" s="154"/>
      <c r="O63" s="154"/>
      <c r="P63" s="140"/>
      <c r="Q63" s="154"/>
      <c r="R63" s="154"/>
      <c r="S63" s="154"/>
      <c r="T63" s="154"/>
      <c r="U63" s="154"/>
      <c r="V63" s="154"/>
      <c r="W63" s="154"/>
      <c r="X63" s="154"/>
      <c r="Y63" s="154"/>
      <c r="Z63" s="154"/>
      <c r="AA63" s="154"/>
      <c r="AB63" s="154"/>
      <c r="AC63" s="154"/>
      <c r="AD63" s="154"/>
      <c r="AE63" s="139"/>
      <c r="AF63" s="139"/>
    </row>
    <row r="64" spans="1:32" ht="15" x14ac:dyDescent="0.2">
      <c r="B64" s="154"/>
      <c r="C64" s="154"/>
      <c r="D64" s="154"/>
      <c r="E64" s="154"/>
      <c r="F64" s="210"/>
      <c r="G64" s="207"/>
      <c r="H64" s="210"/>
      <c r="I64" s="207"/>
      <c r="J64" s="695"/>
      <c r="K64" s="154"/>
      <c r="L64" s="694">
        <v>2017</v>
      </c>
      <c r="M64" s="154"/>
      <c r="N64" s="154"/>
      <c r="O64" s="154"/>
      <c r="P64" s="140"/>
      <c r="Q64" s="154"/>
      <c r="R64" s="154"/>
      <c r="S64" s="154"/>
      <c r="T64" s="154"/>
      <c r="U64" s="154"/>
      <c r="V64" s="154"/>
      <c r="W64" s="154"/>
      <c r="X64" s="154"/>
      <c r="Y64" s="154"/>
      <c r="Z64" s="154"/>
      <c r="AA64" s="154"/>
      <c r="AB64" s="154"/>
      <c r="AC64" s="154"/>
      <c r="AD64" s="154"/>
      <c r="AE64" s="139"/>
      <c r="AF64" s="139"/>
    </row>
    <row r="65" spans="2:32" ht="15" x14ac:dyDescent="0.2">
      <c r="B65" s="154"/>
      <c r="C65" s="154"/>
      <c r="D65" s="154"/>
      <c r="E65" s="154"/>
      <c r="F65" s="696"/>
      <c r="G65" s="207"/>
      <c r="H65" s="695"/>
      <c r="I65" s="207"/>
      <c r="J65" s="697"/>
      <c r="K65" s="154"/>
      <c r="L65" s="153"/>
      <c r="M65" s="154"/>
      <c r="N65" s="154"/>
      <c r="O65" s="154"/>
      <c r="P65" s="140"/>
      <c r="Q65" s="154"/>
      <c r="R65" s="154"/>
      <c r="S65" s="154"/>
      <c r="T65" s="154"/>
      <c r="U65" s="154"/>
      <c r="V65" s="154"/>
      <c r="W65" s="154"/>
      <c r="X65" s="154"/>
      <c r="Y65" s="154"/>
      <c r="Z65" s="154"/>
      <c r="AA65" s="154"/>
      <c r="AB65" s="154"/>
      <c r="AC65" s="154"/>
      <c r="AD65" s="154"/>
      <c r="AE65" s="139"/>
      <c r="AF65" s="139"/>
    </row>
    <row r="66" spans="2:32" ht="15" x14ac:dyDescent="0.2">
      <c r="B66" s="154"/>
      <c r="C66" s="154"/>
      <c r="D66" s="154"/>
      <c r="E66" s="154"/>
      <c r="F66" s="696"/>
      <c r="G66" s="207"/>
      <c r="H66" s="695"/>
      <c r="I66" s="207"/>
      <c r="J66" s="697"/>
      <c r="K66" s="154"/>
      <c r="L66" s="153"/>
      <c r="M66" s="154"/>
      <c r="N66" s="154"/>
      <c r="O66" s="154"/>
      <c r="P66" s="140"/>
      <c r="Q66" s="154"/>
      <c r="R66" s="154"/>
      <c r="S66" s="154"/>
      <c r="T66" s="154"/>
      <c r="U66" s="154"/>
      <c r="V66" s="154"/>
      <c r="W66" s="154"/>
      <c r="X66" s="154"/>
      <c r="Y66" s="154"/>
      <c r="Z66" s="154"/>
      <c r="AA66" s="154"/>
      <c r="AB66" s="154"/>
      <c r="AC66" s="154"/>
      <c r="AD66" s="154"/>
      <c r="AE66" s="139"/>
      <c r="AF66" s="139"/>
    </row>
    <row r="67" spans="2:32" ht="15" x14ac:dyDescent="0.2">
      <c r="B67" s="211"/>
      <c r="C67" s="212"/>
      <c r="D67" s="213"/>
      <c r="E67" s="154"/>
      <c r="F67" s="696"/>
      <c r="G67" s="207"/>
      <c r="H67" s="695"/>
      <c r="I67" s="207"/>
      <c r="J67" s="697"/>
      <c r="K67" s="154"/>
      <c r="L67" s="153">
        <v>35584</v>
      </c>
      <c r="M67" s="154"/>
      <c r="N67" s="154"/>
      <c r="O67" s="154"/>
      <c r="P67" s="140"/>
      <c r="Q67" s="154"/>
      <c r="R67" s="154"/>
      <c r="S67" s="154"/>
      <c r="T67" s="154"/>
      <c r="U67" s="154"/>
      <c r="V67" s="154"/>
      <c r="W67" s="154"/>
      <c r="X67" s="154"/>
      <c r="Y67" s="154"/>
      <c r="Z67" s="154"/>
      <c r="AA67" s="154"/>
      <c r="AB67" s="154"/>
      <c r="AC67" s="154"/>
      <c r="AD67" s="154"/>
      <c r="AE67" s="139"/>
      <c r="AF67" s="139"/>
    </row>
    <row r="68" spans="2:32" ht="15" x14ac:dyDescent="0.2">
      <c r="B68" s="211"/>
      <c r="C68" s="212"/>
      <c r="D68" s="212"/>
      <c r="E68" s="154"/>
      <c r="F68" s="210"/>
      <c r="G68" s="207"/>
      <c r="H68" s="695"/>
      <c r="I68" s="207"/>
      <c r="J68" s="695"/>
      <c r="K68" s="154"/>
      <c r="L68" s="153"/>
      <c r="M68" s="154"/>
      <c r="N68" s="154"/>
      <c r="O68" s="154"/>
      <c r="P68" s="140"/>
      <c r="Q68" s="154"/>
      <c r="R68" s="154"/>
      <c r="S68" s="154"/>
      <c r="T68" s="154"/>
      <c r="U68" s="154"/>
      <c r="V68" s="154"/>
      <c r="W68" s="154"/>
      <c r="X68" s="154"/>
      <c r="Y68" s="154"/>
      <c r="Z68" s="154"/>
      <c r="AA68" s="154"/>
      <c r="AB68" s="154"/>
      <c r="AC68" s="154"/>
      <c r="AD68" s="154"/>
      <c r="AE68" s="139"/>
      <c r="AF68" s="139"/>
    </row>
    <row r="69" spans="2:32" ht="15" x14ac:dyDescent="0.2">
      <c r="B69" s="211"/>
      <c r="C69" s="212"/>
      <c r="D69" s="212"/>
      <c r="E69" s="154"/>
      <c r="F69" s="210"/>
      <c r="G69" s="207"/>
      <c r="H69" s="695"/>
      <c r="I69" s="207"/>
      <c r="J69" s="695"/>
      <c r="K69" s="154"/>
      <c r="L69" s="153"/>
      <c r="M69" s="154"/>
      <c r="N69" s="154"/>
      <c r="O69" s="154"/>
      <c r="P69" s="140"/>
      <c r="Q69" s="154"/>
      <c r="R69" s="154"/>
      <c r="S69" s="154"/>
      <c r="T69" s="154"/>
      <c r="U69" s="154"/>
      <c r="V69" s="154"/>
      <c r="W69" s="154"/>
      <c r="X69" s="154"/>
      <c r="Y69" s="154"/>
      <c r="Z69" s="154"/>
      <c r="AA69" s="154"/>
      <c r="AB69" s="154"/>
      <c r="AC69" s="154"/>
      <c r="AD69" s="154"/>
      <c r="AE69" s="139"/>
      <c r="AF69" s="139"/>
    </row>
    <row r="70" spans="2:32" ht="15" x14ac:dyDescent="0.2">
      <c r="B70" s="211"/>
      <c r="C70" s="212"/>
      <c r="D70" s="213"/>
      <c r="E70" s="154"/>
      <c r="F70" s="141"/>
      <c r="G70" s="154"/>
      <c r="H70" s="140"/>
      <c r="I70" s="154"/>
      <c r="J70" s="140"/>
      <c r="K70" s="154"/>
      <c r="L70" s="153"/>
      <c r="M70" s="154"/>
      <c r="N70" s="154"/>
      <c r="O70" s="154"/>
      <c r="P70" s="140"/>
      <c r="Q70" s="154"/>
      <c r="R70" s="154"/>
      <c r="S70" s="154"/>
      <c r="T70" s="154"/>
      <c r="U70" s="154"/>
      <c r="V70" s="154"/>
      <c r="W70" s="154"/>
      <c r="X70" s="154"/>
      <c r="Y70" s="154"/>
      <c r="Z70" s="154"/>
      <c r="AA70" s="154"/>
      <c r="AB70" s="154"/>
      <c r="AC70" s="154"/>
      <c r="AD70" s="154"/>
      <c r="AE70" s="139"/>
      <c r="AF70" s="139"/>
    </row>
    <row r="71" spans="2:32" ht="15" x14ac:dyDescent="0.2">
      <c r="B71" s="211"/>
      <c r="C71" s="212"/>
      <c r="D71" s="212"/>
      <c r="E71" s="154"/>
      <c r="F71" s="141"/>
      <c r="G71" s="154"/>
      <c r="H71" s="140"/>
      <c r="I71" s="154"/>
      <c r="J71" s="140"/>
      <c r="K71" s="154"/>
      <c r="L71" s="153"/>
      <c r="M71" s="154"/>
      <c r="N71" s="154"/>
      <c r="O71" s="154"/>
      <c r="P71" s="140"/>
      <c r="Q71" s="154"/>
      <c r="R71" s="154"/>
      <c r="S71" s="154"/>
      <c r="T71" s="154"/>
      <c r="U71" s="154"/>
      <c r="V71" s="154"/>
      <c r="W71" s="154"/>
      <c r="X71" s="154"/>
      <c r="Y71" s="154"/>
      <c r="Z71" s="154"/>
      <c r="AA71" s="154"/>
      <c r="AB71" s="154"/>
      <c r="AC71" s="154"/>
      <c r="AD71" s="154"/>
      <c r="AE71" s="139"/>
      <c r="AF71" s="139"/>
    </row>
    <row r="72" spans="2:32" ht="15" x14ac:dyDescent="0.2">
      <c r="B72" s="211"/>
      <c r="C72" s="212"/>
      <c r="D72" s="212"/>
      <c r="E72" s="154"/>
      <c r="F72" s="141"/>
      <c r="G72" s="154"/>
      <c r="H72" s="140"/>
      <c r="I72" s="154"/>
      <c r="J72" s="214"/>
      <c r="K72" s="154"/>
      <c r="L72" s="153"/>
      <c r="M72" s="154"/>
      <c r="N72" s="154"/>
      <c r="O72" s="154"/>
      <c r="P72" s="154"/>
      <c r="Q72" s="154"/>
      <c r="R72" s="154"/>
      <c r="S72" s="154"/>
      <c r="T72" s="154"/>
      <c r="U72" s="154"/>
      <c r="V72" s="154"/>
      <c r="W72" s="154"/>
      <c r="X72" s="154"/>
      <c r="Y72" s="154"/>
      <c r="Z72" s="154"/>
      <c r="AA72" s="154"/>
      <c r="AB72" s="154"/>
      <c r="AC72" s="154"/>
      <c r="AD72" s="154"/>
      <c r="AE72" s="139"/>
      <c r="AF72" s="139"/>
    </row>
    <row r="73" spans="2:32" ht="15" x14ac:dyDescent="0.2">
      <c r="B73" s="211"/>
      <c r="C73" s="212"/>
      <c r="D73" s="213"/>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39"/>
      <c r="AF73" s="139"/>
    </row>
    <row r="74" spans="2:32" ht="15" x14ac:dyDescent="0.2">
      <c r="B74" s="211"/>
      <c r="C74" s="212"/>
      <c r="D74" s="212"/>
      <c r="E74" s="154"/>
      <c r="F74" s="154"/>
      <c r="G74" s="154"/>
      <c r="H74" s="154"/>
      <c r="I74" s="154"/>
      <c r="J74" s="154"/>
      <c r="K74" s="154"/>
      <c r="L74" s="154"/>
      <c r="M74" s="154"/>
      <c r="N74" s="154"/>
      <c r="O74" s="154"/>
      <c r="P74" s="140"/>
      <c r="Q74" s="154"/>
      <c r="R74" s="154"/>
      <c r="S74" s="154"/>
      <c r="T74" s="154"/>
      <c r="U74" s="154"/>
      <c r="V74" s="154"/>
      <c r="W74" s="154"/>
      <c r="X74" s="154"/>
      <c r="Y74" s="154"/>
      <c r="Z74" s="154"/>
      <c r="AA74" s="154"/>
      <c r="AB74" s="154"/>
      <c r="AC74" s="154"/>
      <c r="AD74" s="154"/>
      <c r="AE74" s="139"/>
      <c r="AF74" s="139"/>
    </row>
    <row r="75" spans="2:32" ht="15" x14ac:dyDescent="0.2">
      <c r="B75" s="211"/>
      <c r="C75" s="212"/>
      <c r="D75" s="212"/>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39"/>
      <c r="AF75" s="139"/>
    </row>
    <row r="76" spans="2:32" ht="15" x14ac:dyDescent="0.2">
      <c r="B76" s="211"/>
      <c r="C76" s="212"/>
      <c r="D76" s="213"/>
      <c r="E76" s="154"/>
      <c r="F76" s="154"/>
      <c r="G76" s="154"/>
      <c r="H76" s="154"/>
      <c r="I76" s="154"/>
      <c r="J76" s="154"/>
      <c r="K76" s="154"/>
      <c r="L76" s="154"/>
      <c r="M76" s="154"/>
      <c r="N76" s="154"/>
      <c r="O76" s="154"/>
      <c r="P76" s="140"/>
      <c r="Q76" s="154"/>
      <c r="R76" s="154"/>
      <c r="S76" s="154"/>
      <c r="T76" s="154"/>
      <c r="U76" s="154"/>
      <c r="V76" s="154"/>
      <c r="W76" s="154"/>
      <c r="X76" s="154"/>
      <c r="Y76" s="154"/>
      <c r="Z76" s="154"/>
      <c r="AA76" s="154"/>
      <c r="AB76" s="154"/>
      <c r="AC76" s="154"/>
      <c r="AD76" s="154"/>
      <c r="AE76" s="139"/>
      <c r="AF76" s="139"/>
    </row>
    <row r="77" spans="2:32" ht="15" x14ac:dyDescent="0.2">
      <c r="B77" s="211"/>
      <c r="C77" s="212"/>
      <c r="D77" s="212"/>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39"/>
      <c r="AF77" s="139"/>
    </row>
    <row r="78" spans="2:32" ht="15" x14ac:dyDescent="0.2">
      <c r="B78" s="211"/>
      <c r="C78" s="212"/>
      <c r="D78" s="212"/>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39"/>
      <c r="AF78" s="139"/>
    </row>
    <row r="79" spans="2:32" x14ac:dyDescent="0.2">
      <c r="B79" s="211"/>
      <c r="C79" s="212"/>
      <c r="D79" s="213"/>
    </row>
  </sheetData>
  <phoneticPr fontId="13" type="noConversion"/>
  <printOptions horizontalCentered="1"/>
  <pageMargins left="0.5" right="0.5" top="1" bottom="1" header="0.5" footer="0.5"/>
  <pageSetup scale="70" fitToHeight="0" orientation="landscape" r:id="rId1"/>
  <headerFooter alignWithMargins="0"/>
  <rowBreaks count="1" manualBreakCount="1">
    <brk id="22" min="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R71"/>
  <sheetViews>
    <sheetView workbookViewId="0">
      <selection sqref="A1:F1"/>
    </sheetView>
  </sheetViews>
  <sheetFormatPr defaultColWidth="9.77734375" defaultRowHeight="15" x14ac:dyDescent="0.2"/>
  <cols>
    <col min="1" max="1" width="11.77734375" style="16" customWidth="1"/>
    <col min="2" max="2" width="10.77734375" style="16" customWidth="1"/>
    <col min="3" max="3" width="12.77734375" style="16" customWidth="1"/>
    <col min="4" max="4" width="11.33203125" style="16" customWidth="1"/>
    <col min="5" max="5" width="13.77734375" style="16" customWidth="1"/>
    <col min="6" max="6" width="9.77734375" style="16" customWidth="1"/>
    <col min="7" max="16384" width="9.77734375" style="16"/>
  </cols>
  <sheetData>
    <row r="1" spans="1:18" x14ac:dyDescent="0.2">
      <c r="A1" s="726" t="s">
        <v>8</v>
      </c>
      <c r="B1" s="726"/>
      <c r="C1" s="726"/>
      <c r="D1" s="726"/>
      <c r="E1" s="726"/>
      <c r="F1" s="726"/>
    </row>
    <row r="2" spans="1:18" x14ac:dyDescent="0.2">
      <c r="A2" s="1"/>
      <c r="B2" s="1"/>
      <c r="C2" s="1"/>
      <c r="D2" s="1"/>
      <c r="E2" s="1"/>
      <c r="F2" s="1"/>
      <c r="H2" s="2"/>
    </row>
    <row r="3" spans="1:18" x14ac:dyDescent="0.2">
      <c r="A3" s="727" t="s">
        <v>170</v>
      </c>
      <c r="B3" s="728"/>
      <c r="C3" s="727"/>
      <c r="D3" s="727"/>
      <c r="E3" s="727"/>
      <c r="F3" s="727"/>
    </row>
    <row r="4" spans="1:18" x14ac:dyDescent="0.2">
      <c r="A4" s="294"/>
      <c r="B4" s="294"/>
      <c r="C4" s="294"/>
      <c r="D4" s="294"/>
      <c r="E4" s="294"/>
      <c r="F4" s="294"/>
    </row>
    <row r="5" spans="1:18" x14ac:dyDescent="0.2">
      <c r="A5" s="294" t="s">
        <v>595</v>
      </c>
      <c r="B5" s="294"/>
      <c r="C5" s="294"/>
      <c r="D5" s="294"/>
      <c r="E5" s="294"/>
      <c r="F5" s="294"/>
    </row>
    <row r="6" spans="1:18" x14ac:dyDescent="0.2">
      <c r="A6" s="294" t="s">
        <v>594</v>
      </c>
      <c r="B6" s="294"/>
      <c r="C6" s="294"/>
      <c r="D6" s="294"/>
      <c r="E6" s="294"/>
      <c r="F6" s="294"/>
    </row>
    <row r="7" spans="1:18" ht="9.1999999999999993" customHeight="1" x14ac:dyDescent="0.2">
      <c r="A7" s="294"/>
      <c r="B7" s="294"/>
      <c r="C7" s="294"/>
      <c r="D7" s="294"/>
      <c r="E7" s="294"/>
      <c r="F7" s="294"/>
    </row>
    <row r="8" spans="1:18" ht="27.6" customHeight="1" x14ac:dyDescent="0.2">
      <c r="A8" s="708" t="s">
        <v>294</v>
      </c>
      <c r="B8" s="708"/>
      <c r="C8" s="708"/>
      <c r="D8" s="708"/>
      <c r="E8" s="708"/>
      <c r="F8" s="708"/>
    </row>
    <row r="9" spans="1:18" ht="9.1999999999999993" customHeight="1" x14ac:dyDescent="0.2">
      <c r="A9" s="294"/>
      <c r="B9" s="294"/>
      <c r="C9" s="294"/>
      <c r="D9" s="294"/>
      <c r="E9" s="294"/>
      <c r="F9" s="294"/>
    </row>
    <row r="10" spans="1:18" ht="13.35" customHeight="1" x14ac:dyDescent="0.2">
      <c r="A10" s="294"/>
      <c r="B10" s="294"/>
      <c r="C10" s="294"/>
      <c r="D10" s="295" t="s">
        <v>295</v>
      </c>
      <c r="E10" s="294"/>
      <c r="F10" s="294"/>
    </row>
    <row r="11" spans="1:18" ht="13.35" customHeight="1" x14ac:dyDescent="0.2">
      <c r="A11" s="294"/>
      <c r="B11" s="294"/>
      <c r="C11" s="294"/>
      <c r="D11" s="295" t="s">
        <v>375</v>
      </c>
      <c r="E11" s="294"/>
      <c r="F11" s="294"/>
    </row>
    <row r="12" spans="1:18" ht="13.35" customHeight="1" x14ac:dyDescent="0.2">
      <c r="A12" s="293" t="s">
        <v>138</v>
      </c>
      <c r="B12" s="293"/>
      <c r="C12" s="294"/>
      <c r="D12" s="295" t="s">
        <v>298</v>
      </c>
      <c r="E12" s="294"/>
      <c r="F12" s="295" t="s">
        <v>140</v>
      </c>
    </row>
    <row r="13" spans="1:18" ht="13.35" customHeight="1" x14ac:dyDescent="0.2">
      <c r="A13" s="293" t="s">
        <v>141</v>
      </c>
      <c r="B13" s="293"/>
      <c r="C13" s="294"/>
      <c r="D13" s="295" t="s">
        <v>299</v>
      </c>
      <c r="E13" s="294"/>
      <c r="F13" s="295" t="s">
        <v>142</v>
      </c>
    </row>
    <row r="14" spans="1:18" x14ac:dyDescent="0.2">
      <c r="A14" s="296" t="s">
        <v>143</v>
      </c>
      <c r="B14" s="296"/>
      <c r="C14" s="294"/>
      <c r="D14" s="297" t="s">
        <v>163</v>
      </c>
      <c r="E14" s="294" t="s">
        <v>261</v>
      </c>
      <c r="F14" s="297" t="s">
        <v>145</v>
      </c>
    </row>
    <row r="15" spans="1:18" ht="7.9" customHeight="1" x14ac:dyDescent="0.2">
      <c r="A15" s="294"/>
      <c r="B15" s="298"/>
      <c r="C15" s="294"/>
      <c r="D15" s="294"/>
      <c r="E15" s="294"/>
      <c r="F15" s="299"/>
    </row>
    <row r="16" spans="1:18" ht="13.35" customHeight="1" x14ac:dyDescent="0.2">
      <c r="A16" s="294" t="s">
        <v>146</v>
      </c>
      <c r="B16" s="298"/>
      <c r="C16" s="294"/>
      <c r="D16" s="330">
        <f>+'Sch B COS'!L357</f>
        <v>1208537.9100208043</v>
      </c>
      <c r="E16" s="294"/>
      <c r="F16" s="299">
        <f>+'Sch B COS'!L358</f>
        <v>0.79969999999999997</v>
      </c>
      <c r="G16" s="51"/>
      <c r="H16" s="51"/>
      <c r="I16" s="51"/>
      <c r="J16" s="51"/>
      <c r="L16" s="51"/>
      <c r="N16" s="51"/>
      <c r="P16" s="51"/>
      <c r="R16" s="51"/>
    </row>
    <row r="17" spans="1:7" ht="13.35" customHeight="1" x14ac:dyDescent="0.2">
      <c r="A17" s="294" t="s">
        <v>147</v>
      </c>
      <c r="B17" s="298"/>
      <c r="C17" s="294"/>
      <c r="D17" s="331">
        <f>+'Sch B COS'!N357</f>
        <v>216921.33562219038</v>
      </c>
      <c r="E17" s="294"/>
      <c r="F17" s="299">
        <f>+'Sch B COS'!N358</f>
        <v>0.14349999999999999</v>
      </c>
    </row>
    <row r="18" spans="1:7" ht="13.35" customHeight="1" x14ac:dyDescent="0.2">
      <c r="A18" s="294" t="s">
        <v>148</v>
      </c>
      <c r="B18" s="298"/>
      <c r="C18" s="294"/>
      <c r="D18" s="331">
        <f>+'Sch B COS'!P357</f>
        <v>6986.3075545174343</v>
      </c>
      <c r="E18" s="294"/>
      <c r="F18" s="299">
        <f>+'Sch B COS'!P358</f>
        <v>4.5999999999999999E-3</v>
      </c>
    </row>
    <row r="19" spans="1:7" ht="13.35" customHeight="1" x14ac:dyDescent="0.2">
      <c r="A19" s="294" t="s">
        <v>150</v>
      </c>
      <c r="B19" s="298"/>
      <c r="C19" s="294"/>
      <c r="D19" s="331">
        <f>+'Sch B COS'!R357</f>
        <v>43140.316867254078</v>
      </c>
      <c r="E19" s="294"/>
      <c r="F19" s="299">
        <f>+'Sch B COS'!R358</f>
        <v>2.8500000000000001E-2</v>
      </c>
    </row>
    <row r="20" spans="1:7" ht="13.35" customHeight="1" x14ac:dyDescent="0.2">
      <c r="A20" s="294" t="s">
        <v>267</v>
      </c>
      <c r="B20" s="298"/>
      <c r="C20" s="294"/>
      <c r="D20" s="331">
        <f>+'Sch B COS'!T357</f>
        <v>3365.0252848532755</v>
      </c>
      <c r="E20" s="294"/>
      <c r="F20" s="299">
        <f>+'Sch B COS'!T358</f>
        <v>2.2000000000000001E-3</v>
      </c>
    </row>
    <row r="21" spans="1:7" ht="13.35" customHeight="1" x14ac:dyDescent="0.2">
      <c r="A21" s="294" t="s">
        <v>152</v>
      </c>
      <c r="B21" s="298"/>
      <c r="C21" s="294"/>
      <c r="D21" s="331">
        <f>+'Sch B COS'!V357</f>
        <v>24679.315341416499</v>
      </c>
      <c r="E21" s="294"/>
      <c r="F21" s="299">
        <f>+'Sch B COS'!V358</f>
        <v>1.6299999999999999E-2</v>
      </c>
    </row>
    <row r="22" spans="1:7" ht="13.35" customHeight="1" x14ac:dyDescent="0.2">
      <c r="A22" s="294" t="s">
        <v>153</v>
      </c>
      <c r="B22" s="298"/>
      <c r="C22" s="294"/>
      <c r="D22" s="331">
        <f>+'Sch B COS'!X357</f>
        <v>7927.8595375593432</v>
      </c>
      <c r="E22" s="294"/>
      <c r="F22" s="299">
        <f>+'Sch B COS'!X358</f>
        <v>5.1999999999999998E-3</v>
      </c>
    </row>
    <row r="23" spans="1:7" ht="8.25" customHeight="1" x14ac:dyDescent="0.2">
      <c r="A23" s="294"/>
      <c r="B23" s="298"/>
      <c r="C23" s="294"/>
      <c r="D23" s="332"/>
      <c r="E23" s="294"/>
      <c r="F23" s="303"/>
    </row>
    <row r="24" spans="1:7" ht="15.75" thickBot="1" x14ac:dyDescent="0.25">
      <c r="A24" s="294" t="s">
        <v>154</v>
      </c>
      <c r="B24" s="298"/>
      <c r="C24" s="294"/>
      <c r="D24" s="333">
        <f>SUM(D16:D23)</f>
        <v>1511558.0702285951</v>
      </c>
      <c r="E24" s="294"/>
      <c r="F24" s="334">
        <f>SUM(F16:F23)</f>
        <v>0.99999999999999989</v>
      </c>
    </row>
    <row r="25" spans="1:7" ht="11.85" customHeight="1" thickTop="1" x14ac:dyDescent="0.2">
      <c r="A25" s="294"/>
      <c r="B25" s="294"/>
      <c r="C25" s="298"/>
      <c r="D25" s="298"/>
      <c r="E25" s="298"/>
      <c r="F25" s="298"/>
      <c r="G25"/>
    </row>
    <row r="26" spans="1:7" ht="15" hidden="1" customHeight="1" x14ac:dyDescent="0.2">
      <c r="A26" s="294"/>
      <c r="B26" s="294"/>
      <c r="C26" s="298"/>
      <c r="D26" s="298"/>
      <c r="E26" s="298"/>
      <c r="F26" s="298"/>
      <c r="G26"/>
    </row>
    <row r="27" spans="1:7" ht="15" hidden="1" customHeight="1" x14ac:dyDescent="0.2">
      <c r="A27" s="335" t="s">
        <v>300</v>
      </c>
      <c r="B27" s="294"/>
      <c r="C27" s="298"/>
      <c r="D27" s="298"/>
      <c r="E27" s="298"/>
      <c r="F27" s="298"/>
      <c r="G27"/>
    </row>
    <row r="28" spans="1:7" ht="15" hidden="1" customHeight="1" x14ac:dyDescent="0.2">
      <c r="A28" s="335" t="s">
        <v>301</v>
      </c>
      <c r="B28" s="294"/>
      <c r="C28" s="298"/>
      <c r="D28" s="298"/>
      <c r="E28" s="298"/>
      <c r="F28" s="298"/>
      <c r="G28"/>
    </row>
    <row r="29" spans="1:7" ht="15" hidden="1" customHeight="1" x14ac:dyDescent="0.2">
      <c r="A29" s="294"/>
      <c r="B29" s="294"/>
      <c r="C29" s="298"/>
      <c r="D29" s="298"/>
      <c r="E29" s="298"/>
      <c r="F29" s="298"/>
      <c r="G29"/>
    </row>
    <row r="30" spans="1:7" ht="15" hidden="1" customHeight="1" x14ac:dyDescent="0.2">
      <c r="A30" s="294"/>
      <c r="B30" s="294" t="s">
        <v>302</v>
      </c>
      <c r="C30" s="298"/>
      <c r="D30" s="298"/>
      <c r="E30" s="298"/>
      <c r="F30" s="298"/>
      <c r="G30"/>
    </row>
    <row r="31" spans="1:7" ht="15" hidden="1" customHeight="1" x14ac:dyDescent="0.2">
      <c r="A31" s="294" t="s">
        <v>303</v>
      </c>
      <c r="B31" s="294"/>
      <c r="C31" s="298"/>
      <c r="D31" s="298"/>
      <c r="E31" s="298"/>
      <c r="F31" s="298"/>
      <c r="G31"/>
    </row>
    <row r="32" spans="1:7" ht="15" hidden="1" customHeight="1" x14ac:dyDescent="0.2">
      <c r="A32" s="294"/>
      <c r="B32" s="294"/>
      <c r="C32" s="298"/>
      <c r="D32" s="298"/>
      <c r="E32" s="298"/>
      <c r="F32" s="298"/>
      <c r="G32"/>
    </row>
    <row r="33" spans="1:7" ht="12.75" hidden="1" customHeight="1" x14ac:dyDescent="0.2">
      <c r="A33" s="294"/>
      <c r="B33" s="294"/>
      <c r="C33" s="298"/>
      <c r="D33" s="298" t="s">
        <v>295</v>
      </c>
      <c r="E33" s="298"/>
      <c r="F33" s="298"/>
      <c r="G33"/>
    </row>
    <row r="34" spans="1:7" ht="12.75" hidden="1" customHeight="1" x14ac:dyDescent="0.2">
      <c r="A34" s="294"/>
      <c r="B34" s="294"/>
      <c r="C34" s="298"/>
      <c r="D34" s="298" t="s">
        <v>296</v>
      </c>
      <c r="E34" s="298"/>
      <c r="F34" s="298"/>
      <c r="G34"/>
    </row>
    <row r="35" spans="1:7" ht="12.75" hidden="1" customHeight="1" x14ac:dyDescent="0.2">
      <c r="A35" s="294"/>
      <c r="B35" s="294"/>
      <c r="C35" s="298"/>
      <c r="D35" s="298" t="s">
        <v>297</v>
      </c>
      <c r="E35" s="298"/>
      <c r="F35" s="298"/>
      <c r="G35"/>
    </row>
    <row r="36" spans="1:7" ht="12.75" hidden="1" customHeight="1" x14ac:dyDescent="0.2">
      <c r="A36" s="293" t="s">
        <v>138</v>
      </c>
      <c r="B36" s="293"/>
      <c r="C36" s="298"/>
      <c r="D36" s="298" t="s">
        <v>304</v>
      </c>
      <c r="E36" s="298"/>
      <c r="F36" s="298" t="s">
        <v>140</v>
      </c>
      <c r="G36"/>
    </row>
    <row r="37" spans="1:7" ht="12.75" hidden="1" customHeight="1" x14ac:dyDescent="0.2">
      <c r="A37" s="293" t="s">
        <v>141</v>
      </c>
      <c r="B37" s="293"/>
      <c r="C37" s="298"/>
      <c r="D37" s="298" t="s">
        <v>299</v>
      </c>
      <c r="E37" s="298"/>
      <c r="F37" s="298" t="s">
        <v>142</v>
      </c>
      <c r="G37"/>
    </row>
    <row r="38" spans="1:7" ht="15" hidden="1" customHeight="1" x14ac:dyDescent="0.2">
      <c r="A38" s="296" t="s">
        <v>143</v>
      </c>
      <c r="B38" s="296"/>
      <c r="C38" s="298"/>
      <c r="D38" s="298" t="s">
        <v>163</v>
      </c>
      <c r="E38" s="298" t="s">
        <v>261</v>
      </c>
      <c r="F38" s="298" t="s">
        <v>145</v>
      </c>
      <c r="G38"/>
    </row>
    <row r="39" spans="1:7" ht="12.75" hidden="1" customHeight="1" x14ac:dyDescent="0.2">
      <c r="A39" s="294"/>
      <c r="B39" s="298"/>
      <c r="C39" s="298"/>
      <c r="D39" s="298"/>
      <c r="E39" s="298"/>
      <c r="F39" s="298"/>
      <c r="G39"/>
    </row>
    <row r="40" spans="1:7" ht="12.75" hidden="1" customHeight="1" x14ac:dyDescent="0.2">
      <c r="A40" s="294" t="s">
        <v>146</v>
      </c>
      <c r="B40" s="298"/>
      <c r="C40" s="298"/>
      <c r="D40" s="298">
        <v>3511291</v>
      </c>
      <c r="E40" s="298"/>
      <c r="F40" s="298">
        <f t="shared" ref="F40:F46" si="0">ROUND(D40/D$48,4)</f>
        <v>0.5907</v>
      </c>
      <c r="G40"/>
    </row>
    <row r="41" spans="1:7" ht="12.75" hidden="1" customHeight="1" x14ac:dyDescent="0.2">
      <c r="A41" s="294" t="s">
        <v>147</v>
      </c>
      <c r="B41" s="298"/>
      <c r="C41" s="298"/>
      <c r="D41" s="298">
        <v>941329</v>
      </c>
      <c r="E41" s="298"/>
      <c r="F41" s="298">
        <f t="shared" si="0"/>
        <v>0.1583</v>
      </c>
      <c r="G41"/>
    </row>
    <row r="42" spans="1:7" ht="12.75" hidden="1" customHeight="1" x14ac:dyDescent="0.2">
      <c r="A42" s="294" t="s">
        <v>148</v>
      </c>
      <c r="B42" s="298"/>
      <c r="C42" s="298"/>
      <c r="D42" s="298">
        <v>191461</v>
      </c>
      <c r="E42" s="298"/>
      <c r="F42" s="298">
        <f t="shared" si="0"/>
        <v>3.2199999999999999E-2</v>
      </c>
      <c r="G42"/>
    </row>
    <row r="43" spans="1:7" ht="12.75" hidden="1" customHeight="1" x14ac:dyDescent="0.2">
      <c r="A43" s="294" t="s">
        <v>305</v>
      </c>
      <c r="B43" s="298"/>
      <c r="C43" s="298"/>
      <c r="D43" s="298">
        <v>42532</v>
      </c>
      <c r="E43" s="298"/>
      <c r="F43" s="298">
        <f t="shared" si="0"/>
        <v>7.1999999999999998E-3</v>
      </c>
      <c r="G43"/>
    </row>
    <row r="44" spans="1:7" ht="12.75" hidden="1" customHeight="1" x14ac:dyDescent="0.2">
      <c r="A44" s="294" t="s">
        <v>151</v>
      </c>
      <c r="B44" s="298"/>
      <c r="C44" s="298"/>
      <c r="D44" s="298">
        <v>62932</v>
      </c>
      <c r="E44" s="298"/>
      <c r="F44" s="298">
        <f t="shared" si="0"/>
        <v>1.06E-2</v>
      </c>
      <c r="G44"/>
    </row>
    <row r="45" spans="1:7" ht="12.75" hidden="1" customHeight="1" x14ac:dyDescent="0.2">
      <c r="A45" s="294" t="s">
        <v>152</v>
      </c>
      <c r="B45" s="298"/>
      <c r="C45" s="298"/>
      <c r="D45" s="298">
        <v>229566</v>
      </c>
      <c r="E45" s="298"/>
      <c r="F45" s="298">
        <f t="shared" si="0"/>
        <v>3.8600000000000002E-2</v>
      </c>
      <c r="G45"/>
    </row>
    <row r="46" spans="1:7" ht="12.75" hidden="1" customHeight="1" x14ac:dyDescent="0.2">
      <c r="A46" s="294" t="s">
        <v>153</v>
      </c>
      <c r="B46" s="298"/>
      <c r="C46" s="298"/>
      <c r="D46" s="298">
        <v>965510</v>
      </c>
      <c r="E46" s="298"/>
      <c r="F46" s="298">
        <f t="shared" si="0"/>
        <v>0.16239999999999999</v>
      </c>
      <c r="G46"/>
    </row>
    <row r="47" spans="1:7" ht="15" hidden="1" customHeight="1" x14ac:dyDescent="0.2">
      <c r="A47" s="294"/>
      <c r="B47" s="298"/>
      <c r="C47" s="298"/>
      <c r="D47" s="298"/>
      <c r="E47" s="298"/>
      <c r="F47" s="298"/>
      <c r="G47"/>
    </row>
    <row r="48" spans="1:7" ht="15" hidden="1" customHeight="1" x14ac:dyDescent="0.2">
      <c r="A48" s="294" t="s">
        <v>154</v>
      </c>
      <c r="B48" s="298"/>
      <c r="C48" s="298"/>
      <c r="D48" s="298">
        <f>SUM(D40:D47)</f>
        <v>5944621</v>
      </c>
      <c r="E48" s="298"/>
      <c r="F48" s="298">
        <f>SUM(F40:F47)</f>
        <v>1</v>
      </c>
      <c r="G48"/>
    </row>
    <row r="49" spans="1:7" x14ac:dyDescent="0.2">
      <c r="A49" s="294"/>
      <c r="B49" s="294"/>
      <c r="C49" s="298"/>
      <c r="D49" s="298"/>
      <c r="E49" s="298"/>
      <c r="F49" s="298"/>
      <c r="G49"/>
    </row>
    <row r="50" spans="1:7" x14ac:dyDescent="0.2">
      <c r="A50" s="294" t="s">
        <v>596</v>
      </c>
      <c r="B50" s="294"/>
      <c r="C50" s="294"/>
      <c r="D50" s="294"/>
      <c r="E50" s="294"/>
      <c r="F50" s="294"/>
    </row>
    <row r="51" spans="1:7" x14ac:dyDescent="0.2">
      <c r="A51" s="294" t="s">
        <v>597</v>
      </c>
      <c r="B51" s="294"/>
      <c r="C51" s="294"/>
      <c r="D51" s="294"/>
      <c r="E51" s="294"/>
      <c r="F51" s="294"/>
    </row>
    <row r="52" spans="1:7" x14ac:dyDescent="0.2">
      <c r="A52" s="294" t="s">
        <v>598</v>
      </c>
      <c r="B52" s="294"/>
      <c r="C52" s="294"/>
      <c r="D52" s="294"/>
      <c r="E52" s="294"/>
      <c r="F52" s="294"/>
    </row>
    <row r="53" spans="1:7" x14ac:dyDescent="0.2">
      <c r="A53" s="294"/>
      <c r="B53" s="294"/>
      <c r="C53" s="294"/>
      <c r="D53" s="294"/>
      <c r="E53" s="294"/>
      <c r="F53" s="294"/>
    </row>
    <row r="54" spans="1:7" ht="33" customHeight="1" x14ac:dyDescent="0.2">
      <c r="A54" s="708" t="s">
        <v>306</v>
      </c>
      <c r="B54" s="708"/>
      <c r="C54" s="708"/>
      <c r="D54" s="708"/>
      <c r="E54" s="708"/>
      <c r="F54" s="708"/>
    </row>
    <row r="55" spans="1:7" ht="9.75" customHeight="1" x14ac:dyDescent="0.2">
      <c r="A55" s="294"/>
      <c r="B55" s="294"/>
      <c r="C55" s="294"/>
      <c r="D55" s="294"/>
      <c r="E55" s="294"/>
      <c r="F55" s="294"/>
    </row>
    <row r="56" spans="1:7" x14ac:dyDescent="0.2">
      <c r="A56" s="294"/>
      <c r="B56" s="294"/>
      <c r="C56" s="294"/>
      <c r="D56" s="295" t="s">
        <v>295</v>
      </c>
      <c r="E56" s="294"/>
      <c r="F56" s="294"/>
    </row>
    <row r="57" spans="1:7" x14ac:dyDescent="0.2">
      <c r="A57" s="294"/>
      <c r="B57" s="294"/>
      <c r="C57" s="294"/>
      <c r="D57" s="295" t="s">
        <v>375</v>
      </c>
      <c r="E57" s="294"/>
      <c r="F57" s="294"/>
    </row>
    <row r="58" spans="1:7" x14ac:dyDescent="0.2">
      <c r="A58" s="293" t="s">
        <v>138</v>
      </c>
      <c r="B58" s="293"/>
      <c r="C58" s="294"/>
      <c r="D58" s="295" t="s">
        <v>304</v>
      </c>
      <c r="E58" s="294"/>
      <c r="F58" s="295" t="s">
        <v>140</v>
      </c>
    </row>
    <row r="59" spans="1:7" x14ac:dyDescent="0.2">
      <c r="A59" s="293" t="s">
        <v>141</v>
      </c>
      <c r="B59" s="293"/>
      <c r="C59" s="294"/>
      <c r="D59" s="295" t="s">
        <v>299</v>
      </c>
      <c r="E59" s="294"/>
      <c r="F59" s="295" t="s">
        <v>142</v>
      </c>
    </row>
    <row r="60" spans="1:7" x14ac:dyDescent="0.2">
      <c r="A60" s="296" t="s">
        <v>143</v>
      </c>
      <c r="B60" s="296"/>
      <c r="C60" s="294"/>
      <c r="D60" s="297" t="s">
        <v>163</v>
      </c>
      <c r="E60" s="294" t="s">
        <v>261</v>
      </c>
      <c r="F60" s="297" t="s">
        <v>145</v>
      </c>
    </row>
    <row r="61" spans="1:7" ht="10.7" customHeight="1" x14ac:dyDescent="0.2">
      <c r="A61" s="294"/>
      <c r="B61" s="298"/>
      <c r="C61" s="294"/>
      <c r="D61" s="294"/>
      <c r="E61" s="294"/>
      <c r="F61" s="299"/>
    </row>
    <row r="62" spans="1:7" x14ac:dyDescent="0.2">
      <c r="A62" s="294" t="s">
        <v>146</v>
      </c>
      <c r="B62" s="298"/>
      <c r="C62" s="294"/>
      <c r="D62" s="330">
        <f>+'Sch B COS'!L359</f>
        <v>739485.35461191332</v>
      </c>
      <c r="E62" s="294"/>
      <c r="F62" s="299">
        <f>+'Sch B COS'!L360</f>
        <v>0.48230000000000001</v>
      </c>
    </row>
    <row r="63" spans="1:7" x14ac:dyDescent="0.2">
      <c r="A63" s="294" t="s">
        <v>147</v>
      </c>
      <c r="B63" s="298"/>
      <c r="C63" s="294"/>
      <c r="D63" s="331">
        <f>+'Sch B COS'!N359</f>
        <v>350358.41669317137</v>
      </c>
      <c r="E63" s="294"/>
      <c r="F63" s="299">
        <f>+'Sch B COS'!N360</f>
        <v>0.22850000000000001</v>
      </c>
    </row>
    <row r="64" spans="1:7" x14ac:dyDescent="0.2">
      <c r="A64" s="294" t="s">
        <v>148</v>
      </c>
      <c r="B64" s="298"/>
      <c r="C64" s="294"/>
      <c r="D64" s="331">
        <f>+'Sch B COS'!P359</f>
        <v>37830.389956905354</v>
      </c>
      <c r="E64" s="294"/>
      <c r="F64" s="299">
        <f>+'Sch B COS'!P360</f>
        <v>2.47E-2</v>
      </c>
    </row>
    <row r="65" spans="1:6" x14ac:dyDescent="0.2">
      <c r="A65" s="294" t="s">
        <v>150</v>
      </c>
      <c r="B65" s="298"/>
      <c r="C65" s="294"/>
      <c r="D65" s="331">
        <f>+'Sch B COS'!R359</f>
        <v>78928.99550479732</v>
      </c>
      <c r="E65" s="294"/>
      <c r="F65" s="299">
        <f>+'Sch B COS'!R360</f>
        <v>5.1499999999999997E-2</v>
      </c>
    </row>
    <row r="66" spans="1:6" x14ac:dyDescent="0.2">
      <c r="A66" s="294" t="s">
        <v>267</v>
      </c>
      <c r="B66" s="298"/>
      <c r="C66" s="294"/>
      <c r="D66" s="331">
        <f>+'Sch B COS'!T359</f>
        <v>23129.267934725242</v>
      </c>
      <c r="E66" s="294"/>
      <c r="F66" s="299">
        <f>+'Sch B COS'!T360</f>
        <v>1.5100000000000001E-2</v>
      </c>
    </row>
    <row r="67" spans="1:6" x14ac:dyDescent="0.2">
      <c r="A67" s="294" t="s">
        <v>152</v>
      </c>
      <c r="B67" s="298"/>
      <c r="C67" s="294"/>
      <c r="D67" s="331">
        <f>+'Sch B COS'!V359</f>
        <v>135663.57992799592</v>
      </c>
      <c r="E67" s="294"/>
      <c r="F67" s="299">
        <f>+'Sch B COS'!V360</f>
        <v>8.8499999999999995E-2</v>
      </c>
    </row>
    <row r="68" spans="1:6" x14ac:dyDescent="0.2">
      <c r="A68" s="294" t="s">
        <v>153</v>
      </c>
      <c r="B68" s="298"/>
      <c r="C68" s="294"/>
      <c r="D68" s="331">
        <f>+'Sch B COS'!X359</f>
        <v>167674.8937161768</v>
      </c>
      <c r="E68" s="294"/>
      <c r="F68" s="299">
        <f>+'Sch B COS'!X360</f>
        <v>0.1094</v>
      </c>
    </row>
    <row r="69" spans="1:6" ht="7.9" customHeight="1" x14ac:dyDescent="0.2">
      <c r="A69" s="294"/>
      <c r="B69" s="298"/>
      <c r="C69" s="294"/>
      <c r="D69" s="302"/>
      <c r="E69" s="294"/>
      <c r="F69" s="303"/>
    </row>
    <row r="70" spans="1:6" ht="15.75" thickBot="1" x14ac:dyDescent="0.25">
      <c r="A70" s="294" t="s">
        <v>154</v>
      </c>
      <c r="B70" s="298"/>
      <c r="C70" s="294"/>
      <c r="D70" s="304">
        <f>SUM(D62:D69)</f>
        <v>1533070.8983456849</v>
      </c>
      <c r="E70" s="294"/>
      <c r="F70" s="334">
        <f>SUM(F62:F69)</f>
        <v>1</v>
      </c>
    </row>
    <row r="71" spans="1:6" ht="15.75" thickTop="1" x14ac:dyDescent="0.2">
      <c r="A71" s="294"/>
      <c r="B71" s="294"/>
      <c r="C71" s="294"/>
      <c r="D71" s="305"/>
      <c r="E71" s="306"/>
      <c r="F71" s="327"/>
    </row>
  </sheetData>
  <mergeCells count="4">
    <mergeCell ref="A54:F54"/>
    <mergeCell ref="A8:F8"/>
    <mergeCell ref="A1:F1"/>
    <mergeCell ref="A3:F3"/>
  </mergeCells>
  <phoneticPr fontId="13" type="noConversion"/>
  <printOptions horizontalCentered="1"/>
  <pageMargins left="1" right="0.75" top="1" bottom="0.5" header="0.5" footer="0.5"/>
  <pageSetup scale="95"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H117"/>
  <sheetViews>
    <sheetView workbookViewId="0">
      <selection activeCell="D33" sqref="D33"/>
    </sheetView>
  </sheetViews>
  <sheetFormatPr defaultColWidth="9.77734375" defaultRowHeight="15" x14ac:dyDescent="0.2"/>
  <cols>
    <col min="1" max="1" width="12.77734375" style="16" customWidth="1"/>
    <col min="2" max="2" width="10.33203125" style="16" customWidth="1"/>
    <col min="3" max="3" width="12.6640625" style="16" customWidth="1"/>
    <col min="4" max="4" width="12.33203125" style="16" customWidth="1"/>
    <col min="5" max="5" width="13.21875" style="16" customWidth="1"/>
    <col min="6" max="6" width="9.88671875" style="16" customWidth="1"/>
    <col min="7" max="16384" width="9.77734375" style="16"/>
  </cols>
  <sheetData>
    <row r="1" spans="1:8" x14ac:dyDescent="0.2">
      <c r="A1" s="15" t="s">
        <v>8</v>
      </c>
      <c r="B1" s="15"/>
      <c r="C1" s="15"/>
      <c r="D1" s="15"/>
      <c r="E1" s="15"/>
      <c r="F1" s="15"/>
      <c r="H1" s="2"/>
    </row>
    <row r="2" spans="1:8" x14ac:dyDescent="0.2">
      <c r="A2" s="1"/>
      <c r="B2" s="1"/>
      <c r="C2" s="15"/>
      <c r="D2" s="15"/>
      <c r="E2" s="15"/>
      <c r="F2" s="15"/>
    </row>
    <row r="3" spans="1:8" x14ac:dyDescent="0.2">
      <c r="A3" s="293" t="s">
        <v>170</v>
      </c>
      <c r="B3" s="437"/>
      <c r="C3" s="293"/>
      <c r="D3" s="293"/>
      <c r="E3" s="293"/>
      <c r="F3" s="293"/>
    </row>
    <row r="4" spans="1:8" x14ac:dyDescent="0.2">
      <c r="A4" s="294"/>
      <c r="B4" s="294"/>
      <c r="C4" s="298"/>
      <c r="D4" s="298"/>
      <c r="E4" s="298"/>
      <c r="F4" s="298"/>
    </row>
    <row r="5" spans="1:8" x14ac:dyDescent="0.2">
      <c r="A5" s="294" t="s">
        <v>100</v>
      </c>
      <c r="B5" s="294"/>
      <c r="C5" s="298"/>
      <c r="D5" s="298"/>
      <c r="E5" s="298"/>
      <c r="F5" s="298"/>
    </row>
    <row r="6" spans="1:8" x14ac:dyDescent="0.2">
      <c r="A6" s="294"/>
      <c r="B6" s="294"/>
      <c r="C6" s="298"/>
      <c r="D6" s="298"/>
      <c r="E6" s="298"/>
      <c r="F6" s="298"/>
    </row>
    <row r="7" spans="1:8" ht="15" customHeight="1" x14ac:dyDescent="0.2">
      <c r="A7" s="708" t="s">
        <v>290</v>
      </c>
      <c r="B7" s="708"/>
      <c r="C7" s="708"/>
      <c r="D7" s="708"/>
      <c r="E7" s="708"/>
      <c r="F7" s="321"/>
    </row>
    <row r="8" spans="1:8" x14ac:dyDescent="0.2">
      <c r="A8" s="294"/>
      <c r="B8" s="294"/>
      <c r="C8" s="298"/>
      <c r="D8" s="298"/>
      <c r="E8" s="298"/>
      <c r="F8" s="298"/>
    </row>
    <row r="9" spans="1:8" x14ac:dyDescent="0.2">
      <c r="A9" s="293" t="s">
        <v>188</v>
      </c>
      <c r="B9" s="293"/>
      <c r="D9" s="295" t="s">
        <v>270</v>
      </c>
      <c r="F9" s="295" t="s">
        <v>140</v>
      </c>
    </row>
    <row r="10" spans="1:8" x14ac:dyDescent="0.2">
      <c r="A10" s="293" t="s">
        <v>141</v>
      </c>
      <c r="B10" s="293"/>
      <c r="D10" s="295" t="s">
        <v>291</v>
      </c>
      <c r="F10" s="295" t="s">
        <v>142</v>
      </c>
    </row>
    <row r="11" spans="1:8" x14ac:dyDescent="0.2">
      <c r="A11" s="296" t="s">
        <v>143</v>
      </c>
      <c r="B11" s="296"/>
      <c r="D11" s="322" t="s">
        <v>163</v>
      </c>
      <c r="F11" s="322" t="s">
        <v>145</v>
      </c>
    </row>
    <row r="12" spans="1:8" ht="12.75" customHeight="1" x14ac:dyDescent="0.2">
      <c r="A12" s="294"/>
      <c r="B12" s="294"/>
      <c r="D12" s="294"/>
      <c r="F12" s="300"/>
    </row>
    <row r="13" spans="1:8" ht="13.35" customHeight="1" x14ac:dyDescent="0.2">
      <c r="A13" s="294" t="s">
        <v>146</v>
      </c>
      <c r="B13" s="294"/>
      <c r="D13" s="301">
        <v>121500</v>
      </c>
      <c r="F13" s="300">
        <f>ROUND(D13/$D$21,4)</f>
        <v>0.90139999999999998</v>
      </c>
    </row>
    <row r="14" spans="1:8" ht="13.35" customHeight="1" x14ac:dyDescent="0.2">
      <c r="A14" s="294" t="s">
        <v>147</v>
      </c>
      <c r="B14" s="294"/>
      <c r="D14" s="301">
        <v>9268</v>
      </c>
      <c r="F14" s="300">
        <f t="shared" ref="F14:F19" si="0">ROUND(D14/$D$21,4)</f>
        <v>6.88E-2</v>
      </c>
    </row>
    <row r="15" spans="1:8" ht="13.35" customHeight="1" x14ac:dyDescent="0.2">
      <c r="A15" s="294" t="s">
        <v>148</v>
      </c>
      <c r="B15" s="294"/>
      <c r="D15" s="301">
        <v>53</v>
      </c>
      <c r="F15" s="300">
        <f t="shared" si="0"/>
        <v>4.0000000000000002E-4</v>
      </c>
    </row>
    <row r="16" spans="1:8" ht="13.35" customHeight="1" x14ac:dyDescent="0.2">
      <c r="A16" s="294" t="s">
        <v>150</v>
      </c>
      <c r="B16" s="294"/>
      <c r="D16" s="301">
        <v>806</v>
      </c>
      <c r="F16" s="300">
        <f t="shared" si="0"/>
        <v>6.0000000000000001E-3</v>
      </c>
    </row>
    <row r="17" spans="1:8" ht="13.35" customHeight="1" x14ac:dyDescent="0.2">
      <c r="A17" s="294" t="s">
        <v>267</v>
      </c>
      <c r="B17" s="294"/>
      <c r="D17" s="301">
        <v>19</v>
      </c>
      <c r="F17" s="300">
        <f t="shared" si="0"/>
        <v>1E-4</v>
      </c>
      <c r="G17" s="2"/>
    </row>
    <row r="18" spans="1:8" ht="13.35" customHeight="1" x14ac:dyDescent="0.2">
      <c r="A18" s="294" t="s">
        <v>152</v>
      </c>
      <c r="B18" s="294"/>
      <c r="D18" s="301">
        <v>3102</v>
      </c>
      <c r="F18" s="300">
        <f t="shared" si="0"/>
        <v>2.3E-2</v>
      </c>
      <c r="G18" s="2"/>
    </row>
    <row r="19" spans="1:8" ht="13.35" customHeight="1" x14ac:dyDescent="0.2">
      <c r="A19" s="294" t="s">
        <v>153</v>
      </c>
      <c r="B19" s="294"/>
      <c r="D19" s="323">
        <v>38</v>
      </c>
      <c r="F19" s="324">
        <f t="shared" si="0"/>
        <v>2.9999999999999997E-4</v>
      </c>
      <c r="G19" s="49"/>
      <c r="H19" s="48"/>
    </row>
    <row r="20" spans="1:8" x14ac:dyDescent="0.2">
      <c r="A20" s="294"/>
      <c r="B20" s="294"/>
      <c r="D20" s="302"/>
      <c r="F20" s="303"/>
      <c r="G20" s="2"/>
    </row>
    <row r="21" spans="1:8" ht="15.75" thickBot="1" x14ac:dyDescent="0.25">
      <c r="A21" s="294" t="s">
        <v>154</v>
      </c>
      <c r="B21" s="294"/>
      <c r="D21" s="301">
        <f>SUM(D13:D20)</f>
        <v>134786</v>
      </c>
      <c r="F21" s="325">
        <f>SUM(F13:F20)</f>
        <v>0.99999999999999989</v>
      </c>
      <c r="G21" s="2"/>
    </row>
    <row r="22" spans="1:8" ht="15.75" thickTop="1" x14ac:dyDescent="0.2">
      <c r="A22" s="294"/>
      <c r="B22" s="294"/>
      <c r="D22" s="326"/>
      <c r="F22" s="327"/>
      <c r="G22" s="2"/>
    </row>
    <row r="23" spans="1:8" x14ac:dyDescent="0.2">
      <c r="A23" s="294"/>
      <c r="B23" s="294"/>
      <c r="C23" s="294"/>
      <c r="D23" s="294"/>
      <c r="E23" s="294"/>
      <c r="F23" s="298"/>
      <c r="G23" s="2"/>
    </row>
    <row r="24" spans="1:8" x14ac:dyDescent="0.2">
      <c r="A24" s="294"/>
      <c r="B24" s="294"/>
      <c r="C24" s="301"/>
      <c r="D24" s="301"/>
      <c r="E24" s="294"/>
      <c r="F24" s="298"/>
      <c r="G24" s="2"/>
    </row>
    <row r="25" spans="1:8" x14ac:dyDescent="0.2">
      <c r="A25" s="294" t="s">
        <v>101</v>
      </c>
      <c r="B25" s="294"/>
      <c r="C25" s="294"/>
      <c r="D25" s="294"/>
      <c r="E25" s="294"/>
      <c r="F25" s="298"/>
      <c r="G25" s="2"/>
    </row>
    <row r="26" spans="1:8" x14ac:dyDescent="0.2">
      <c r="A26" s="294"/>
      <c r="B26" s="294"/>
      <c r="C26" s="294"/>
      <c r="D26" s="294"/>
      <c r="E26" s="294"/>
      <c r="F26" s="298"/>
      <c r="G26" s="2"/>
    </row>
    <row r="27" spans="1:8" x14ac:dyDescent="0.2">
      <c r="A27" s="294" t="s">
        <v>292</v>
      </c>
      <c r="B27" s="294"/>
      <c r="C27" s="294"/>
      <c r="D27" s="294"/>
      <c r="E27" s="294"/>
      <c r="F27" s="298"/>
      <c r="G27" s="2"/>
    </row>
    <row r="28" spans="1:8" x14ac:dyDescent="0.2">
      <c r="A28" s="294"/>
      <c r="B28" s="294"/>
      <c r="C28" s="294"/>
      <c r="D28" s="294"/>
      <c r="E28" s="294"/>
      <c r="F28" s="298"/>
      <c r="G28" s="2"/>
    </row>
    <row r="29" spans="1:8" x14ac:dyDescent="0.2">
      <c r="A29" s="293" t="s">
        <v>188</v>
      </c>
      <c r="B29" s="293"/>
      <c r="D29" s="295" t="s">
        <v>293</v>
      </c>
      <c r="F29" s="295" t="s">
        <v>140</v>
      </c>
      <c r="G29" s="2"/>
    </row>
    <row r="30" spans="1:8" x14ac:dyDescent="0.2">
      <c r="A30" s="293" t="s">
        <v>141</v>
      </c>
      <c r="B30" s="293"/>
      <c r="D30" s="295" t="s">
        <v>291</v>
      </c>
      <c r="F30" s="295" t="s">
        <v>142</v>
      </c>
      <c r="G30" s="2"/>
    </row>
    <row r="31" spans="1:8" x14ac:dyDescent="0.2">
      <c r="A31" s="296" t="s">
        <v>143</v>
      </c>
      <c r="B31" s="296"/>
      <c r="D31" s="322" t="s">
        <v>163</v>
      </c>
      <c r="F31" s="322" t="s">
        <v>145</v>
      </c>
      <c r="G31" s="2"/>
    </row>
    <row r="32" spans="1:8" ht="12.75" customHeight="1" x14ac:dyDescent="0.2">
      <c r="A32" s="294"/>
      <c r="B32" s="294"/>
      <c r="D32" s="294"/>
      <c r="F32" s="294"/>
      <c r="G32" s="2"/>
    </row>
    <row r="33" spans="1:7" ht="13.35" customHeight="1" x14ac:dyDescent="0.2">
      <c r="A33" s="294" t="s">
        <v>146</v>
      </c>
      <c r="B33" s="294"/>
      <c r="D33" s="301">
        <f>D13</f>
        <v>121500</v>
      </c>
      <c r="F33" s="300">
        <f>ROUND(D33/$D$40,4)+0.0001</f>
        <v>0.91020000000000001</v>
      </c>
      <c r="G33" s="2"/>
    </row>
    <row r="34" spans="1:7" ht="13.35" customHeight="1" x14ac:dyDescent="0.2">
      <c r="A34" s="294" t="s">
        <v>147</v>
      </c>
      <c r="B34" s="294"/>
      <c r="D34" s="301">
        <f>D14</f>
        <v>9268</v>
      </c>
      <c r="F34" s="300">
        <f t="shared" ref="F34:F38" si="1">ROUND(D34/$D$40,4)</f>
        <v>6.9400000000000003E-2</v>
      </c>
      <c r="G34" s="2"/>
    </row>
    <row r="35" spans="1:7" ht="13.35" customHeight="1" x14ac:dyDescent="0.2">
      <c r="A35" s="294" t="s">
        <v>148</v>
      </c>
      <c r="B35" s="294"/>
      <c r="D35" s="301">
        <f>D15</f>
        <v>53</v>
      </c>
      <c r="F35" s="300">
        <f t="shared" si="1"/>
        <v>4.0000000000000002E-4</v>
      </c>
      <c r="G35" s="2"/>
    </row>
    <row r="36" spans="1:7" ht="13.35" customHeight="1" x14ac:dyDescent="0.2">
      <c r="A36" s="294" t="s">
        <v>150</v>
      </c>
      <c r="B36" s="294"/>
      <c r="D36" s="301">
        <f>D16</f>
        <v>806</v>
      </c>
      <c r="F36" s="300">
        <f t="shared" si="1"/>
        <v>6.0000000000000001E-3</v>
      </c>
      <c r="G36" s="2"/>
    </row>
    <row r="37" spans="1:7" ht="13.35" customHeight="1" x14ac:dyDescent="0.2">
      <c r="A37" s="294" t="s">
        <v>267</v>
      </c>
      <c r="B37" s="294"/>
      <c r="D37" s="301">
        <f>D17</f>
        <v>19</v>
      </c>
      <c r="F37" s="300">
        <f t="shared" si="1"/>
        <v>1E-4</v>
      </c>
      <c r="G37" s="2"/>
    </row>
    <row r="38" spans="1:7" ht="13.35" customHeight="1" x14ac:dyDescent="0.2">
      <c r="A38" s="294" t="s">
        <v>152</v>
      </c>
      <c r="B38" s="294"/>
      <c r="D38" s="301">
        <f>+SUM('Sch E Fire'!K15:K23)</f>
        <v>1862</v>
      </c>
      <c r="F38" s="300">
        <f t="shared" si="1"/>
        <v>1.3899999999999999E-2</v>
      </c>
      <c r="G38" s="2"/>
    </row>
    <row r="39" spans="1:7" x14ac:dyDescent="0.2">
      <c r="A39" s="294"/>
      <c r="B39" s="294"/>
      <c r="D39" s="302"/>
      <c r="F39" s="303"/>
      <c r="G39" s="2"/>
    </row>
    <row r="40" spans="1:7" ht="15.75" thickBot="1" x14ac:dyDescent="0.25">
      <c r="A40" s="294" t="s">
        <v>154</v>
      </c>
      <c r="B40" s="294"/>
      <c r="D40" s="328">
        <f>SUM(D33:D39)</f>
        <v>133508</v>
      </c>
      <c r="F40" s="325">
        <f>SUM(F33:F39)</f>
        <v>1</v>
      </c>
      <c r="G40" s="2"/>
    </row>
    <row r="41" spans="1:7" ht="15.75" thickTop="1" x14ac:dyDescent="0.2">
      <c r="A41" s="298"/>
      <c r="B41" s="298"/>
      <c r="D41" s="329"/>
      <c r="F41" s="327"/>
    </row>
    <row r="42" spans="1:7" x14ac:dyDescent="0.2">
      <c r="A42" s="298"/>
      <c r="B42" s="298"/>
      <c r="C42" s="298"/>
      <c r="D42" s="298"/>
      <c r="E42" s="298"/>
      <c r="F42" s="298"/>
    </row>
    <row r="43" spans="1:7" x14ac:dyDescent="0.2">
      <c r="A43" s="298"/>
      <c r="B43" s="298"/>
      <c r="C43" s="298"/>
      <c r="D43" s="298"/>
      <c r="E43" s="298"/>
      <c r="F43" s="298"/>
    </row>
    <row r="44" spans="1:7" x14ac:dyDescent="0.2">
      <c r="A44" s="298"/>
      <c r="B44" s="298"/>
      <c r="C44" s="298"/>
      <c r="D44" s="298"/>
      <c r="E44" s="298"/>
      <c r="F44" s="298"/>
    </row>
    <row r="45" spans="1:7" x14ac:dyDescent="0.2">
      <c r="A45" s="298"/>
      <c r="B45" s="298"/>
      <c r="C45" s="298"/>
      <c r="D45" s="298"/>
      <c r="E45" s="298"/>
      <c r="F45" s="298"/>
    </row>
    <row r="46" spans="1:7" x14ac:dyDescent="0.2">
      <c r="A46" s="298"/>
      <c r="B46" s="298"/>
      <c r="C46" s="298"/>
      <c r="D46" s="298"/>
      <c r="E46" s="298"/>
      <c r="F46" s="298"/>
    </row>
    <row r="47" spans="1:7" x14ac:dyDescent="0.2">
      <c r="A47" s="298"/>
      <c r="B47" s="298"/>
      <c r="C47" s="298"/>
      <c r="D47" s="298"/>
      <c r="E47" s="298"/>
      <c r="F47" s="298"/>
    </row>
    <row r="48" spans="1:7" x14ac:dyDescent="0.2">
      <c r="A48" s="298"/>
      <c r="B48" s="298"/>
      <c r="C48" s="298"/>
      <c r="D48" s="298"/>
      <c r="E48" s="298"/>
      <c r="F48" s="298"/>
    </row>
    <row r="49" spans="1:6" x14ac:dyDescent="0.2">
      <c r="A49" s="298"/>
      <c r="B49" s="298"/>
      <c r="C49" s="298"/>
      <c r="D49" s="298"/>
      <c r="E49" s="298"/>
      <c r="F49" s="298"/>
    </row>
    <row r="50" spans="1:6" x14ac:dyDescent="0.2">
      <c r="A50" s="298"/>
      <c r="B50" s="298"/>
      <c r="C50" s="298"/>
      <c r="D50" s="298"/>
      <c r="E50" s="298"/>
      <c r="F50" s="298"/>
    </row>
    <row r="51" spans="1:6" x14ac:dyDescent="0.2">
      <c r="A51" s="298"/>
      <c r="B51" s="298"/>
      <c r="C51" s="298"/>
      <c r="D51" s="298"/>
      <c r="E51" s="298"/>
      <c r="F51" s="298"/>
    </row>
    <row r="52" spans="1:6" x14ac:dyDescent="0.2">
      <c r="A52" s="298"/>
      <c r="B52" s="298"/>
      <c r="C52" s="298"/>
      <c r="D52" s="298"/>
      <c r="E52" s="298"/>
      <c r="F52" s="298"/>
    </row>
    <row r="53" spans="1:6" x14ac:dyDescent="0.2">
      <c r="A53" s="298"/>
      <c r="B53" s="298"/>
      <c r="C53" s="298"/>
      <c r="D53" s="298"/>
      <c r="E53" s="298"/>
      <c r="F53" s="298"/>
    </row>
    <row r="54" spans="1:6" x14ac:dyDescent="0.2">
      <c r="A54" s="298"/>
      <c r="B54" s="298"/>
      <c r="C54" s="298"/>
      <c r="D54" s="298"/>
      <c r="E54" s="298"/>
      <c r="F54" s="298"/>
    </row>
    <row r="55" spans="1:6" x14ac:dyDescent="0.2">
      <c r="A55" s="298"/>
      <c r="B55" s="298"/>
      <c r="C55" s="298"/>
      <c r="D55" s="298"/>
      <c r="E55" s="298"/>
      <c r="F55" s="298"/>
    </row>
    <row r="56" spans="1:6" x14ac:dyDescent="0.2">
      <c r="A56" s="298"/>
      <c r="B56" s="298"/>
      <c r="C56" s="298"/>
      <c r="D56" s="298"/>
      <c r="E56" s="298"/>
      <c r="F56" s="298"/>
    </row>
    <row r="57" spans="1:6" x14ac:dyDescent="0.2">
      <c r="A57" s="298"/>
      <c r="B57" s="298"/>
      <c r="C57" s="298"/>
      <c r="D57" s="298"/>
      <c r="E57" s="298"/>
      <c r="F57" s="298"/>
    </row>
    <row r="58" spans="1:6" x14ac:dyDescent="0.2">
      <c r="A58" s="298"/>
      <c r="B58" s="298"/>
      <c r="C58" s="298"/>
      <c r="D58" s="298"/>
      <c r="E58" s="298"/>
      <c r="F58" s="298"/>
    </row>
    <row r="59" spans="1:6" x14ac:dyDescent="0.2">
      <c r="A59" s="298"/>
      <c r="B59" s="298"/>
      <c r="C59" s="298"/>
      <c r="D59" s="298"/>
      <c r="E59" s="298"/>
      <c r="F59" s="298"/>
    </row>
    <row r="60" spans="1:6" x14ac:dyDescent="0.2">
      <c r="A60" s="298"/>
      <c r="B60" s="298"/>
      <c r="C60" s="298"/>
      <c r="D60" s="298"/>
      <c r="E60" s="298"/>
      <c r="F60" s="298"/>
    </row>
    <row r="61" spans="1:6" x14ac:dyDescent="0.2">
      <c r="A61" s="298"/>
      <c r="B61" s="298"/>
      <c r="C61" s="298"/>
      <c r="D61" s="298"/>
      <c r="E61" s="298"/>
      <c r="F61" s="298"/>
    </row>
    <row r="62" spans="1:6" x14ac:dyDescent="0.2">
      <c r="A62" s="298"/>
      <c r="B62" s="298"/>
      <c r="C62" s="298"/>
      <c r="D62" s="298"/>
      <c r="E62" s="298"/>
      <c r="F62" s="298"/>
    </row>
    <row r="63" spans="1:6" x14ac:dyDescent="0.2">
      <c r="A63" s="298"/>
      <c r="B63" s="298"/>
      <c r="C63" s="298"/>
      <c r="D63" s="298"/>
      <c r="E63" s="298"/>
      <c r="F63" s="298"/>
    </row>
    <row r="64" spans="1:6" x14ac:dyDescent="0.2">
      <c r="A64" s="298"/>
      <c r="B64" s="298"/>
      <c r="C64" s="298"/>
      <c r="D64" s="298"/>
      <c r="E64" s="298"/>
      <c r="F64" s="298"/>
    </row>
    <row r="65" spans="1:6" x14ac:dyDescent="0.2">
      <c r="A65" s="298"/>
      <c r="B65" s="298"/>
      <c r="C65" s="298"/>
      <c r="D65" s="298"/>
      <c r="E65" s="298"/>
      <c r="F65" s="298"/>
    </row>
    <row r="66" spans="1:6" x14ac:dyDescent="0.2">
      <c r="A66" s="298"/>
      <c r="B66" s="298"/>
      <c r="C66" s="298"/>
      <c r="D66" s="298"/>
      <c r="E66" s="298"/>
      <c r="F66" s="298"/>
    </row>
    <row r="67" spans="1:6" x14ac:dyDescent="0.2">
      <c r="A67" s="298"/>
      <c r="B67" s="298"/>
      <c r="C67" s="298"/>
      <c r="D67" s="298"/>
      <c r="E67" s="298"/>
      <c r="F67" s="298"/>
    </row>
    <row r="68" spans="1:6" x14ac:dyDescent="0.2">
      <c r="A68" s="298"/>
      <c r="B68" s="298"/>
      <c r="C68" s="298"/>
      <c r="D68" s="298"/>
      <c r="E68" s="298"/>
      <c r="F68" s="298"/>
    </row>
    <row r="69" spans="1:6" x14ac:dyDescent="0.2">
      <c r="A69" s="298"/>
      <c r="B69" s="298"/>
      <c r="C69" s="298"/>
      <c r="D69" s="298"/>
      <c r="E69" s="298"/>
      <c r="F69" s="298"/>
    </row>
    <row r="70" spans="1:6" x14ac:dyDescent="0.2">
      <c r="A70" s="298"/>
      <c r="B70" s="298"/>
      <c r="C70" s="298"/>
      <c r="D70" s="298"/>
      <c r="E70" s="298"/>
      <c r="F70" s="298"/>
    </row>
    <row r="71" spans="1:6" x14ac:dyDescent="0.2">
      <c r="A71" s="298"/>
      <c r="B71" s="298"/>
      <c r="C71" s="298"/>
      <c r="D71" s="298"/>
      <c r="E71" s="298"/>
      <c r="F71" s="298"/>
    </row>
    <row r="72" spans="1:6" x14ac:dyDescent="0.2">
      <c r="A72" s="298"/>
      <c r="B72" s="298"/>
      <c r="C72" s="298"/>
      <c r="D72" s="298"/>
      <c r="E72" s="298"/>
      <c r="F72" s="298"/>
    </row>
    <row r="73" spans="1:6" x14ac:dyDescent="0.2">
      <c r="A73" s="298"/>
      <c r="B73" s="298"/>
      <c r="C73" s="298"/>
      <c r="D73" s="298"/>
      <c r="E73" s="298"/>
      <c r="F73" s="298"/>
    </row>
    <row r="74" spans="1:6" x14ac:dyDescent="0.2">
      <c r="A74" s="298"/>
      <c r="B74" s="298"/>
      <c r="C74" s="298"/>
      <c r="D74" s="298"/>
      <c r="E74" s="298"/>
      <c r="F74" s="298"/>
    </row>
    <row r="75" spans="1:6" x14ac:dyDescent="0.2">
      <c r="A75" s="298"/>
      <c r="B75" s="298"/>
      <c r="C75" s="298"/>
      <c r="D75" s="298"/>
      <c r="E75" s="298"/>
      <c r="F75" s="298"/>
    </row>
    <row r="76" spans="1:6" x14ac:dyDescent="0.2">
      <c r="A76" s="298"/>
      <c r="B76" s="298"/>
      <c r="C76" s="298"/>
      <c r="D76" s="298"/>
      <c r="E76" s="298"/>
      <c r="F76" s="298"/>
    </row>
    <row r="77" spans="1:6" x14ac:dyDescent="0.2">
      <c r="A77" s="298"/>
      <c r="B77" s="298"/>
      <c r="C77" s="298"/>
      <c r="D77" s="298"/>
      <c r="E77" s="298"/>
      <c r="F77" s="298"/>
    </row>
    <row r="78" spans="1:6" x14ac:dyDescent="0.2">
      <c r="A78" s="298"/>
      <c r="B78" s="298"/>
      <c r="C78" s="298"/>
      <c r="D78" s="298"/>
      <c r="E78" s="298"/>
      <c r="F78" s="298"/>
    </row>
    <row r="79" spans="1:6" x14ac:dyDescent="0.2">
      <c r="A79" s="298"/>
      <c r="B79" s="298"/>
      <c r="C79" s="298"/>
      <c r="D79" s="298"/>
      <c r="E79" s="298"/>
      <c r="F79" s="298"/>
    </row>
    <row r="80" spans="1:6" x14ac:dyDescent="0.2">
      <c r="A80" s="298"/>
      <c r="B80" s="298"/>
      <c r="C80" s="298"/>
      <c r="D80" s="298"/>
      <c r="E80" s="298"/>
      <c r="F80" s="298"/>
    </row>
    <row r="81" spans="1:6" x14ac:dyDescent="0.2">
      <c r="A81" s="298"/>
      <c r="B81" s="298"/>
      <c r="C81" s="298"/>
      <c r="D81" s="298"/>
      <c r="E81" s="298"/>
      <c r="F81" s="298"/>
    </row>
    <row r="82" spans="1:6" x14ac:dyDescent="0.2">
      <c r="A82" s="298"/>
      <c r="B82" s="298"/>
      <c r="C82" s="298"/>
      <c r="D82" s="298"/>
      <c r="E82" s="298"/>
      <c r="F82" s="298"/>
    </row>
    <row r="83" spans="1:6" x14ac:dyDescent="0.2">
      <c r="A83" s="298"/>
      <c r="B83" s="298"/>
      <c r="C83" s="298"/>
      <c r="D83" s="298"/>
      <c r="E83" s="298"/>
      <c r="F83" s="298"/>
    </row>
    <row r="84" spans="1:6" x14ac:dyDescent="0.2">
      <c r="A84" s="298"/>
      <c r="B84" s="298"/>
      <c r="C84" s="298"/>
      <c r="D84" s="298"/>
      <c r="E84" s="298"/>
      <c r="F84" s="298"/>
    </row>
    <row r="85" spans="1:6" x14ac:dyDescent="0.2">
      <c r="A85" s="298"/>
      <c r="B85" s="298"/>
      <c r="C85" s="298"/>
      <c r="D85" s="298"/>
      <c r="E85" s="298"/>
      <c r="F85" s="298"/>
    </row>
    <row r="86" spans="1:6" x14ac:dyDescent="0.2">
      <c r="A86" s="298"/>
      <c r="B86" s="298"/>
      <c r="C86" s="298"/>
      <c r="D86" s="298"/>
      <c r="E86" s="298"/>
      <c r="F86" s="298"/>
    </row>
    <row r="87" spans="1:6" x14ac:dyDescent="0.2">
      <c r="A87" s="298"/>
      <c r="B87" s="298"/>
      <c r="C87" s="298"/>
      <c r="D87" s="298"/>
      <c r="E87" s="298"/>
      <c r="F87" s="298"/>
    </row>
    <row r="88" spans="1:6" x14ac:dyDescent="0.2">
      <c r="A88" s="298"/>
      <c r="B88" s="298"/>
      <c r="C88" s="298"/>
      <c r="D88" s="298"/>
      <c r="E88" s="298"/>
      <c r="F88" s="298"/>
    </row>
    <row r="89" spans="1:6" x14ac:dyDescent="0.2">
      <c r="A89" s="298"/>
      <c r="B89" s="298"/>
      <c r="C89" s="298"/>
      <c r="D89" s="298"/>
      <c r="E89" s="298"/>
      <c r="F89" s="298"/>
    </row>
    <row r="90" spans="1:6" x14ac:dyDescent="0.2">
      <c r="A90" s="298"/>
      <c r="B90" s="298"/>
      <c r="C90" s="298"/>
      <c r="D90" s="298"/>
      <c r="E90" s="298"/>
      <c r="F90" s="298"/>
    </row>
    <row r="91" spans="1:6" x14ac:dyDescent="0.2">
      <c r="A91" s="298"/>
      <c r="B91" s="298"/>
      <c r="C91" s="298"/>
      <c r="D91" s="298"/>
      <c r="E91" s="298"/>
      <c r="F91" s="298"/>
    </row>
    <row r="92" spans="1:6" x14ac:dyDescent="0.2">
      <c r="A92" s="298"/>
      <c r="B92" s="298"/>
      <c r="C92" s="298"/>
      <c r="D92" s="298"/>
      <c r="E92" s="298"/>
      <c r="F92" s="298"/>
    </row>
    <row r="93" spans="1:6" x14ac:dyDescent="0.2">
      <c r="A93" s="298"/>
      <c r="B93" s="298"/>
      <c r="C93" s="298"/>
      <c r="D93" s="298"/>
      <c r="E93" s="298"/>
      <c r="F93" s="298"/>
    </row>
    <row r="94" spans="1:6" x14ac:dyDescent="0.2">
      <c r="A94" s="298"/>
      <c r="B94" s="298"/>
      <c r="C94" s="298"/>
      <c r="D94" s="298"/>
      <c r="E94" s="298"/>
      <c r="F94" s="298"/>
    </row>
    <row r="95" spans="1:6" x14ac:dyDescent="0.2">
      <c r="A95" s="298"/>
      <c r="B95" s="298"/>
      <c r="C95" s="298"/>
      <c r="D95" s="298"/>
      <c r="E95" s="298"/>
      <c r="F95" s="298"/>
    </row>
    <row r="96" spans="1:6" x14ac:dyDescent="0.2">
      <c r="A96" s="298"/>
      <c r="B96" s="298"/>
      <c r="C96" s="298"/>
      <c r="D96" s="298"/>
      <c r="E96" s="298"/>
      <c r="F96" s="298"/>
    </row>
    <row r="97" spans="1:6" x14ac:dyDescent="0.2">
      <c r="A97" s="298"/>
      <c r="B97" s="298"/>
      <c r="C97" s="298"/>
      <c r="D97" s="298"/>
      <c r="E97" s="298"/>
      <c r="F97" s="298"/>
    </row>
    <row r="98" spans="1:6" x14ac:dyDescent="0.2">
      <c r="A98" s="298"/>
      <c r="B98" s="298"/>
      <c r="C98" s="298"/>
      <c r="D98" s="298"/>
      <c r="E98" s="298"/>
      <c r="F98" s="298"/>
    </row>
    <row r="99" spans="1:6" x14ac:dyDescent="0.2">
      <c r="A99" s="298"/>
      <c r="B99" s="298"/>
      <c r="C99" s="298"/>
      <c r="D99" s="298"/>
      <c r="E99" s="298"/>
      <c r="F99" s="298"/>
    </row>
    <row r="100" spans="1:6" x14ac:dyDescent="0.2">
      <c r="A100" s="298"/>
      <c r="B100" s="298"/>
      <c r="C100" s="298"/>
      <c r="D100" s="298"/>
      <c r="E100" s="298"/>
      <c r="F100" s="298"/>
    </row>
    <row r="101" spans="1:6" x14ac:dyDescent="0.2">
      <c r="A101" s="298"/>
      <c r="B101" s="298"/>
      <c r="C101" s="298"/>
      <c r="D101" s="298"/>
      <c r="E101" s="298"/>
      <c r="F101" s="298"/>
    </row>
    <row r="102" spans="1:6" x14ac:dyDescent="0.2">
      <c r="A102" s="298"/>
      <c r="B102" s="298"/>
      <c r="C102" s="298"/>
      <c r="D102" s="298"/>
      <c r="E102" s="298"/>
      <c r="F102" s="298"/>
    </row>
    <row r="103" spans="1:6" x14ac:dyDescent="0.2">
      <c r="A103" s="298"/>
      <c r="B103" s="298"/>
      <c r="C103" s="298"/>
      <c r="D103" s="298"/>
      <c r="E103" s="298"/>
      <c r="F103" s="298"/>
    </row>
    <row r="104" spans="1:6" x14ac:dyDescent="0.2">
      <c r="A104" s="298"/>
      <c r="B104" s="298"/>
      <c r="C104" s="298"/>
      <c r="D104" s="298"/>
      <c r="E104" s="298"/>
      <c r="F104" s="298"/>
    </row>
    <row r="105" spans="1:6" x14ac:dyDescent="0.2">
      <c r="A105" s="298"/>
      <c r="B105" s="298"/>
      <c r="C105" s="298"/>
      <c r="D105" s="298"/>
      <c r="E105" s="298"/>
      <c r="F105" s="298"/>
    </row>
    <row r="106" spans="1:6" x14ac:dyDescent="0.2">
      <c r="A106" s="298"/>
      <c r="B106" s="298"/>
      <c r="C106" s="298"/>
      <c r="D106" s="298"/>
      <c r="E106" s="298"/>
      <c r="F106" s="298"/>
    </row>
    <row r="107" spans="1:6" x14ac:dyDescent="0.2">
      <c r="A107" s="298"/>
      <c r="B107" s="298"/>
      <c r="C107" s="298"/>
      <c r="D107" s="298"/>
      <c r="E107" s="298"/>
      <c r="F107" s="298"/>
    </row>
    <row r="108" spans="1:6" x14ac:dyDescent="0.2">
      <c r="A108" s="298"/>
      <c r="B108" s="298"/>
      <c r="C108" s="298"/>
      <c r="D108" s="298"/>
      <c r="E108" s="298"/>
      <c r="F108" s="298"/>
    </row>
    <row r="109" spans="1:6" x14ac:dyDescent="0.2">
      <c r="A109" s="298"/>
      <c r="B109" s="298"/>
      <c r="C109" s="298"/>
      <c r="D109" s="298"/>
      <c r="E109" s="298"/>
      <c r="F109" s="298"/>
    </row>
    <row r="110" spans="1:6" x14ac:dyDescent="0.2">
      <c r="A110" s="298"/>
      <c r="B110" s="298"/>
      <c r="C110" s="298"/>
      <c r="D110" s="298"/>
      <c r="E110" s="298"/>
      <c r="F110" s="298"/>
    </row>
    <row r="111" spans="1:6" x14ac:dyDescent="0.2">
      <c r="A111" s="298"/>
      <c r="B111" s="298"/>
      <c r="C111" s="298"/>
      <c r="D111" s="298"/>
      <c r="E111" s="298"/>
      <c r="F111" s="298"/>
    </row>
    <row r="112" spans="1:6" x14ac:dyDescent="0.2">
      <c r="A112" s="298"/>
      <c r="B112" s="298"/>
      <c r="C112" s="298"/>
      <c r="D112" s="298"/>
      <c r="E112" s="298"/>
      <c r="F112" s="298"/>
    </row>
    <row r="113" spans="1:6" x14ac:dyDescent="0.2">
      <c r="A113" s="298"/>
      <c r="B113" s="298"/>
      <c r="C113" s="298"/>
      <c r="D113" s="298"/>
      <c r="E113" s="298"/>
      <c r="F113" s="298"/>
    </row>
    <row r="114" spans="1:6" x14ac:dyDescent="0.2">
      <c r="A114" s="298"/>
      <c r="B114" s="298"/>
      <c r="C114" s="298"/>
      <c r="D114" s="298"/>
      <c r="E114" s="298"/>
      <c r="F114" s="298"/>
    </row>
    <row r="115" spans="1:6" x14ac:dyDescent="0.2">
      <c r="A115" s="298"/>
      <c r="B115" s="298"/>
      <c r="C115" s="298"/>
      <c r="D115" s="298"/>
      <c r="E115" s="298"/>
      <c r="F115" s="298"/>
    </row>
    <row r="116" spans="1:6" x14ac:dyDescent="0.2">
      <c r="A116" s="298"/>
      <c r="B116" s="298"/>
      <c r="C116" s="298"/>
      <c r="D116" s="298"/>
      <c r="E116" s="298"/>
      <c r="F116" s="298"/>
    </row>
    <row r="117" spans="1:6" x14ac:dyDescent="0.2">
      <c r="A117" s="298"/>
      <c r="B117" s="298"/>
      <c r="C117" s="298"/>
      <c r="D117" s="298"/>
      <c r="E117" s="298"/>
      <c r="F117" s="298"/>
    </row>
  </sheetData>
  <mergeCells count="1">
    <mergeCell ref="A7:E7"/>
  </mergeCells>
  <phoneticPr fontId="13" type="noConversion"/>
  <printOptions horizontalCentered="1"/>
  <pageMargins left="1" right="0.75" top="1" bottom="0.5" header="0.5" footer="0.5"/>
  <pageSetup scale="95"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W154"/>
  <sheetViews>
    <sheetView workbookViewId="0">
      <selection activeCell="J154" sqref="J154"/>
    </sheetView>
  </sheetViews>
  <sheetFormatPr defaultColWidth="9.77734375" defaultRowHeight="15" x14ac:dyDescent="0.2"/>
  <cols>
    <col min="1" max="1" width="7.77734375" style="16" customWidth="1"/>
    <col min="2" max="2" width="12.21875" style="16" customWidth="1"/>
    <col min="3" max="3" width="14" style="16" customWidth="1"/>
    <col min="4" max="4" width="13.44140625" style="117" bestFit="1" customWidth="1"/>
    <col min="5" max="5" width="13" style="16" customWidth="1"/>
    <col min="6" max="6" width="11.77734375" style="16" customWidth="1"/>
    <col min="7" max="7" width="9.77734375" style="16" customWidth="1"/>
    <col min="8" max="9" width="7.77734375" style="16" customWidth="1"/>
    <col min="10" max="10" width="14.77734375" style="16" customWidth="1"/>
    <col min="11" max="11" width="10.77734375" style="16" customWidth="1"/>
    <col min="12" max="12" width="14.77734375" style="16" customWidth="1"/>
    <col min="13" max="13" width="8.77734375" style="16" customWidth="1"/>
    <col min="14" max="14" width="6.77734375" style="16" customWidth="1"/>
    <col min="15" max="15" width="9.77734375" style="16" customWidth="1"/>
    <col min="16" max="17" width="7.77734375" style="16" customWidth="1"/>
    <col min="18" max="18" width="14.77734375" style="16" customWidth="1"/>
    <col min="19" max="19" width="10.77734375" style="16" customWidth="1"/>
    <col min="20" max="20" width="14.77734375" style="16" customWidth="1"/>
    <col min="21" max="21" width="8.77734375" style="16" customWidth="1"/>
    <col min="22" max="22" width="5.77734375" style="16" customWidth="1"/>
    <col min="23" max="16384" width="9.77734375" style="16"/>
  </cols>
  <sheetData>
    <row r="1" spans="1:23" x14ac:dyDescent="0.2">
      <c r="A1" s="15" t="s">
        <v>8</v>
      </c>
      <c r="B1" s="1"/>
      <c r="C1" s="1"/>
      <c r="D1" s="633"/>
      <c r="E1" s="1"/>
      <c r="F1" s="1"/>
      <c r="G1" s="2"/>
      <c r="H1" s="2"/>
      <c r="I1" s="2"/>
      <c r="J1" s="2"/>
      <c r="K1" s="2"/>
      <c r="L1" s="2"/>
      <c r="M1" s="2"/>
      <c r="N1" s="2"/>
      <c r="O1" s="2"/>
      <c r="P1" s="2"/>
      <c r="Q1" s="2"/>
      <c r="R1" s="2"/>
      <c r="S1" s="2"/>
      <c r="T1" s="2"/>
      <c r="U1" s="2"/>
      <c r="V1" s="2"/>
      <c r="W1" s="2"/>
    </row>
    <row r="2" spans="1:23" x14ac:dyDescent="0.2">
      <c r="A2" s="1"/>
      <c r="B2" s="1"/>
      <c r="C2" s="1"/>
      <c r="D2" s="633"/>
      <c r="E2" s="1"/>
      <c r="F2" s="1"/>
      <c r="G2" s="2"/>
      <c r="H2" s="2"/>
      <c r="I2" s="2"/>
      <c r="J2" s="2"/>
      <c r="K2" s="2"/>
      <c r="L2" s="2"/>
      <c r="M2" s="2"/>
      <c r="N2" s="2"/>
      <c r="O2" s="2"/>
      <c r="P2" s="2"/>
      <c r="Q2" s="2"/>
      <c r="R2" s="2"/>
      <c r="S2" s="2"/>
      <c r="T2" s="2"/>
      <c r="U2" s="2"/>
      <c r="V2" s="2"/>
      <c r="W2" s="2"/>
    </row>
    <row r="3" spans="1:23" x14ac:dyDescent="0.2">
      <c r="A3" s="293" t="s">
        <v>170</v>
      </c>
      <c r="B3" s="437"/>
      <c r="C3" s="293"/>
      <c r="D3" s="634"/>
      <c r="E3" s="293"/>
      <c r="F3" s="293"/>
      <c r="G3" s="2"/>
      <c r="H3" s="2"/>
      <c r="I3" s="2"/>
      <c r="J3" s="2"/>
      <c r="K3" s="2"/>
      <c r="L3" s="2"/>
      <c r="M3" s="2"/>
      <c r="N3" s="2"/>
      <c r="O3" s="2"/>
      <c r="P3" s="2"/>
      <c r="Q3" s="2"/>
      <c r="R3" s="2"/>
      <c r="S3" s="2"/>
      <c r="T3" s="2"/>
      <c r="U3" s="2"/>
      <c r="V3" s="2"/>
      <c r="W3" s="2"/>
    </row>
    <row r="4" spans="1:23" x14ac:dyDescent="0.2">
      <c r="A4" s="294"/>
      <c r="B4" s="294"/>
      <c r="C4" s="294"/>
      <c r="D4" s="635"/>
      <c r="E4" s="294"/>
      <c r="F4" s="294"/>
      <c r="G4" s="2"/>
      <c r="H4" s="2"/>
      <c r="I4" s="2"/>
      <c r="J4" s="2"/>
      <c r="K4" s="2"/>
      <c r="L4" s="2"/>
      <c r="M4" s="2"/>
      <c r="N4" s="2"/>
      <c r="O4" s="2"/>
      <c r="P4" s="2"/>
      <c r="Q4" s="2"/>
      <c r="R4" s="2"/>
      <c r="S4" s="2"/>
      <c r="T4" s="2"/>
      <c r="U4" s="2"/>
      <c r="V4" s="2"/>
      <c r="W4" s="2"/>
    </row>
    <row r="5" spans="1:23" x14ac:dyDescent="0.2">
      <c r="A5" s="294" t="s">
        <v>3</v>
      </c>
      <c r="B5" s="294"/>
      <c r="C5" s="294"/>
      <c r="D5" s="635"/>
      <c r="E5" s="294"/>
      <c r="F5" s="294"/>
      <c r="G5" s="2"/>
      <c r="H5" s="2"/>
      <c r="I5" s="2"/>
      <c r="J5" s="2"/>
      <c r="K5" s="2"/>
      <c r="L5" s="2"/>
      <c r="M5" s="2"/>
      <c r="N5" s="2"/>
      <c r="O5" s="2"/>
      <c r="P5" s="2"/>
      <c r="Q5" s="2"/>
      <c r="R5" s="2"/>
      <c r="S5" s="2"/>
      <c r="T5" s="2"/>
      <c r="U5" s="2"/>
      <c r="V5" s="2"/>
      <c r="W5" s="2"/>
    </row>
    <row r="6" spans="1:23" x14ac:dyDescent="0.2">
      <c r="A6" s="294"/>
      <c r="B6" s="294"/>
      <c r="C6" s="294"/>
      <c r="D6" s="635"/>
      <c r="E6" s="294"/>
      <c r="F6" s="294"/>
      <c r="G6" s="2"/>
      <c r="H6" s="2"/>
      <c r="I6" s="2"/>
      <c r="J6" s="2"/>
      <c r="K6" s="2"/>
      <c r="L6" s="2"/>
      <c r="M6" s="2"/>
      <c r="N6" s="2"/>
      <c r="O6" s="2"/>
      <c r="P6" s="2"/>
      <c r="Q6" s="2"/>
      <c r="R6" s="2"/>
      <c r="S6" s="2"/>
      <c r="T6" s="2"/>
      <c r="U6" s="2"/>
      <c r="V6" s="2"/>
      <c r="W6" s="2"/>
    </row>
    <row r="7" spans="1:23" ht="29.25" customHeight="1" x14ac:dyDescent="0.2">
      <c r="A7" s="708" t="s">
        <v>376</v>
      </c>
      <c r="B7" s="708"/>
      <c r="C7" s="708"/>
      <c r="D7" s="708"/>
      <c r="E7" s="708"/>
      <c r="F7" s="708"/>
      <c r="G7" s="2"/>
      <c r="H7" s="2"/>
      <c r="I7" s="2"/>
      <c r="J7" s="2"/>
      <c r="K7" s="2"/>
      <c r="L7" s="2"/>
      <c r="M7" s="2"/>
      <c r="N7" s="2"/>
      <c r="O7" s="2"/>
      <c r="P7" s="2"/>
      <c r="Q7" s="2"/>
      <c r="R7" s="2"/>
      <c r="S7" s="2"/>
      <c r="T7" s="2"/>
      <c r="U7" s="2"/>
      <c r="V7" s="2"/>
      <c r="W7" s="2"/>
    </row>
    <row r="8" spans="1:23" x14ac:dyDescent="0.2">
      <c r="A8" s="294"/>
      <c r="B8" s="294"/>
      <c r="C8" s="294"/>
      <c r="D8" s="635"/>
      <c r="E8" s="294"/>
      <c r="F8" s="294"/>
      <c r="G8" s="2"/>
      <c r="H8" s="2"/>
      <c r="I8" s="2"/>
      <c r="J8" s="2"/>
      <c r="K8" s="2"/>
      <c r="L8" s="2"/>
      <c r="M8" s="2"/>
      <c r="N8" s="2"/>
      <c r="O8" s="2"/>
      <c r="P8" s="2"/>
      <c r="Q8" s="2"/>
      <c r="R8" s="2"/>
      <c r="S8" s="2"/>
      <c r="T8" s="2"/>
      <c r="U8" s="2"/>
      <c r="V8" s="2"/>
      <c r="W8" s="2"/>
    </row>
    <row r="9" spans="1:23" x14ac:dyDescent="0.2">
      <c r="A9" s="294"/>
      <c r="B9" s="294"/>
      <c r="C9" s="294"/>
      <c r="D9" s="636" t="s">
        <v>308</v>
      </c>
      <c r="E9" s="295"/>
      <c r="F9" s="295"/>
      <c r="G9" s="2"/>
      <c r="H9" s="2"/>
      <c r="I9" s="2"/>
      <c r="J9" s="2"/>
      <c r="K9" s="2"/>
      <c r="L9" s="2"/>
      <c r="M9" s="2"/>
      <c r="N9" s="2"/>
      <c r="O9" s="2"/>
      <c r="P9" s="2"/>
      <c r="Q9" s="2"/>
      <c r="R9" s="2"/>
      <c r="S9" s="2"/>
      <c r="T9" s="2"/>
      <c r="U9" s="2"/>
      <c r="V9" s="2"/>
      <c r="W9" s="2"/>
    </row>
    <row r="10" spans="1:23" x14ac:dyDescent="0.2">
      <c r="A10" s="293" t="s">
        <v>138</v>
      </c>
      <c r="B10" s="293"/>
      <c r="C10" s="294"/>
      <c r="D10" s="636" t="s">
        <v>304</v>
      </c>
      <c r="E10" s="295"/>
      <c r="F10" s="295" t="s">
        <v>140</v>
      </c>
      <c r="G10" s="2"/>
      <c r="H10" s="2"/>
      <c r="I10" s="2"/>
      <c r="J10" s="2"/>
      <c r="K10" s="2"/>
      <c r="L10" s="2"/>
      <c r="M10" s="2"/>
      <c r="N10" s="2"/>
      <c r="O10" s="2"/>
      <c r="P10" s="2"/>
      <c r="Q10" s="2"/>
      <c r="R10" s="2"/>
      <c r="S10" s="2"/>
      <c r="T10" s="2"/>
      <c r="U10" s="2"/>
      <c r="V10" s="2"/>
      <c r="W10" s="2"/>
    </row>
    <row r="11" spans="1:23" x14ac:dyDescent="0.2">
      <c r="A11" s="293" t="s">
        <v>141</v>
      </c>
      <c r="B11" s="293"/>
      <c r="C11" s="294"/>
      <c r="D11" s="636" t="s">
        <v>299</v>
      </c>
      <c r="E11" s="295"/>
      <c r="F11" s="295" t="s">
        <v>142</v>
      </c>
      <c r="G11" s="2"/>
      <c r="H11" s="2"/>
      <c r="I11" s="2"/>
      <c r="J11" s="2"/>
      <c r="K11" s="2"/>
      <c r="L11" s="2"/>
      <c r="M11" s="2"/>
      <c r="N11" s="2"/>
      <c r="O11" s="2"/>
      <c r="P11" s="2"/>
      <c r="Q11" s="2"/>
      <c r="R11" s="2"/>
      <c r="S11" s="2"/>
      <c r="T11" s="2"/>
      <c r="U11" s="2"/>
      <c r="V11" s="2"/>
      <c r="W11" s="2"/>
    </row>
    <row r="12" spans="1:23" x14ac:dyDescent="0.2">
      <c r="A12" s="296" t="s">
        <v>143</v>
      </c>
      <c r="B12" s="296"/>
      <c r="C12" s="294"/>
      <c r="D12" s="637" t="s">
        <v>163</v>
      </c>
      <c r="E12" s="295" t="s">
        <v>261</v>
      </c>
      <c r="F12" s="297" t="s">
        <v>145</v>
      </c>
      <c r="G12" s="2"/>
      <c r="H12" s="2"/>
      <c r="I12" s="2"/>
      <c r="J12" s="2"/>
      <c r="K12" s="2"/>
      <c r="L12" s="2"/>
      <c r="M12" s="2"/>
      <c r="N12" s="2"/>
      <c r="O12" s="2"/>
      <c r="P12" s="2"/>
      <c r="Q12" s="2"/>
      <c r="R12" s="2"/>
      <c r="S12" s="2"/>
      <c r="T12" s="2"/>
      <c r="U12" s="2"/>
      <c r="V12" s="2"/>
      <c r="W12" s="2"/>
    </row>
    <row r="13" spans="1:23" ht="12.75" customHeight="1" x14ac:dyDescent="0.2">
      <c r="A13" s="294"/>
      <c r="B13" s="298"/>
      <c r="C13" s="294"/>
      <c r="D13" s="635"/>
      <c r="E13" s="294"/>
      <c r="F13" s="299"/>
      <c r="G13" s="2"/>
      <c r="H13" s="2"/>
      <c r="I13" s="2"/>
      <c r="J13" s="2"/>
      <c r="K13" s="2"/>
      <c r="L13" s="2"/>
      <c r="M13" s="2"/>
      <c r="N13" s="2"/>
      <c r="O13" s="2"/>
      <c r="P13" s="2"/>
      <c r="Q13" s="2"/>
      <c r="R13" s="2"/>
      <c r="S13" s="2"/>
      <c r="T13" s="2"/>
      <c r="U13" s="2"/>
      <c r="V13" s="2"/>
      <c r="W13" s="2"/>
    </row>
    <row r="14" spans="1:23" ht="13.35" customHeight="1" x14ac:dyDescent="0.2">
      <c r="A14" s="294" t="s">
        <v>146</v>
      </c>
      <c r="B14" s="298"/>
      <c r="C14" s="294"/>
      <c r="D14" s="603">
        <f>+'Sch B COS'!L361</f>
        <v>9152538.1924542431</v>
      </c>
      <c r="E14" s="294"/>
      <c r="F14" s="300">
        <f>+'Sch B COS'!L362</f>
        <v>0.64370000000000005</v>
      </c>
      <c r="G14" s="2"/>
      <c r="H14" s="2"/>
      <c r="I14" s="2"/>
      <c r="J14" s="2"/>
      <c r="K14" s="2"/>
      <c r="L14" s="2"/>
      <c r="M14" s="2"/>
      <c r="N14" s="2"/>
      <c r="O14" s="2"/>
      <c r="P14" s="2"/>
      <c r="Q14" s="2"/>
      <c r="R14" s="2"/>
      <c r="S14" s="2"/>
      <c r="T14" s="2"/>
      <c r="U14" s="2"/>
      <c r="V14" s="2"/>
      <c r="W14" s="2"/>
    </row>
    <row r="15" spans="1:23" ht="13.35" customHeight="1" x14ac:dyDescent="0.2">
      <c r="A15" s="294" t="s">
        <v>147</v>
      </c>
      <c r="B15" s="298"/>
      <c r="C15" s="294"/>
      <c r="D15" s="635">
        <f>+'Sch B COS'!N361</f>
        <v>3013483.1089469055</v>
      </c>
      <c r="E15" s="294"/>
      <c r="F15" s="299">
        <f>+'Sch B COS'!N362</f>
        <v>0.21199999999999999</v>
      </c>
      <c r="G15" s="2"/>
      <c r="H15" s="2"/>
      <c r="I15" s="2"/>
      <c r="J15" s="2"/>
      <c r="K15" s="2"/>
      <c r="L15" s="2"/>
      <c r="M15" s="2"/>
      <c r="N15" s="2"/>
      <c r="O15" s="2"/>
      <c r="P15" s="2"/>
      <c r="Q15" s="2"/>
      <c r="R15" s="2"/>
      <c r="S15" s="2"/>
      <c r="T15" s="2"/>
      <c r="U15" s="2"/>
      <c r="V15" s="2"/>
      <c r="W15" s="2"/>
    </row>
    <row r="16" spans="1:23" ht="13.35" customHeight="1" x14ac:dyDescent="0.2">
      <c r="A16" s="294" t="s">
        <v>148</v>
      </c>
      <c r="B16" s="298"/>
      <c r="C16" s="294"/>
      <c r="D16" s="635">
        <f>+'Sch B COS'!P361</f>
        <v>337352.52082946262</v>
      </c>
      <c r="E16" s="294"/>
      <c r="F16" s="299">
        <f>+'Sch B COS'!P362</f>
        <v>2.3699999999999999E-2</v>
      </c>
      <c r="G16" s="2"/>
      <c r="H16" s="2"/>
      <c r="I16" s="2"/>
      <c r="J16" s="2"/>
      <c r="K16" s="2"/>
      <c r="L16" s="2"/>
      <c r="M16" s="2"/>
      <c r="N16" s="2"/>
      <c r="O16" s="2"/>
      <c r="P16" s="2"/>
      <c r="Q16" s="2"/>
      <c r="R16" s="2"/>
      <c r="S16" s="2"/>
      <c r="T16" s="2"/>
      <c r="U16" s="2"/>
      <c r="V16" s="2"/>
      <c r="W16" s="2"/>
    </row>
    <row r="17" spans="1:23" ht="13.35" customHeight="1" x14ac:dyDescent="0.2">
      <c r="A17" s="294" t="s">
        <v>150</v>
      </c>
      <c r="B17" s="298"/>
      <c r="C17" s="294"/>
      <c r="D17" s="635">
        <f>+'Sch B COS'!R361</f>
        <v>727680.18416544795</v>
      </c>
      <c r="E17" s="294"/>
      <c r="F17" s="299">
        <f>+'Sch B COS'!R362</f>
        <v>5.1200000000000002E-2</v>
      </c>
      <c r="G17" s="2"/>
      <c r="H17" s="2"/>
      <c r="I17" s="2"/>
      <c r="J17" s="2"/>
      <c r="K17" s="2"/>
      <c r="L17" s="2"/>
      <c r="M17" s="2"/>
      <c r="N17" s="2"/>
      <c r="O17" s="2"/>
      <c r="P17" s="2"/>
      <c r="Q17" s="2"/>
      <c r="R17" s="2"/>
      <c r="S17" s="2"/>
      <c r="T17" s="2"/>
      <c r="U17" s="2"/>
      <c r="V17" s="2"/>
      <c r="W17" s="2"/>
    </row>
    <row r="18" spans="1:23" ht="13.35" customHeight="1" x14ac:dyDescent="0.2">
      <c r="A18" s="294" t="s">
        <v>267</v>
      </c>
      <c r="B18" s="298"/>
      <c r="C18" s="294"/>
      <c r="D18" s="635">
        <f>+'Sch B COS'!T361</f>
        <v>224006.67093437276</v>
      </c>
      <c r="E18" s="294"/>
      <c r="F18" s="299">
        <f>+'Sch B COS'!T362</f>
        <v>1.5800000000000002E-2</v>
      </c>
      <c r="G18" s="2"/>
      <c r="H18" s="2"/>
      <c r="I18" s="2"/>
      <c r="J18" s="2"/>
      <c r="K18" s="2"/>
      <c r="L18" s="2"/>
      <c r="M18" s="2"/>
      <c r="N18" s="2"/>
      <c r="O18" s="2"/>
      <c r="P18" s="2"/>
      <c r="Q18" s="2"/>
      <c r="R18" s="2"/>
      <c r="S18" s="2"/>
      <c r="T18" s="2"/>
      <c r="U18" s="2"/>
      <c r="V18" s="2"/>
      <c r="W18" s="2"/>
    </row>
    <row r="19" spans="1:23" ht="13.35" customHeight="1" x14ac:dyDescent="0.2">
      <c r="A19" s="294" t="s">
        <v>152</v>
      </c>
      <c r="B19" s="298"/>
      <c r="C19" s="294"/>
      <c r="D19" s="635">
        <f>+'Sch B COS'!V361</f>
        <v>400006.870835596</v>
      </c>
      <c r="E19" s="294"/>
      <c r="F19" s="299">
        <f>+'Sch B COS'!V362</f>
        <v>2.81E-2</v>
      </c>
      <c r="G19" s="2"/>
      <c r="H19" s="2"/>
      <c r="I19" s="2"/>
      <c r="J19" s="2"/>
      <c r="K19" s="2"/>
      <c r="L19" s="2"/>
      <c r="M19" s="2"/>
      <c r="N19" s="2"/>
      <c r="O19" s="2"/>
      <c r="P19" s="2"/>
      <c r="Q19" s="2"/>
      <c r="R19" s="2"/>
      <c r="S19" s="2"/>
      <c r="T19" s="2"/>
      <c r="U19" s="2"/>
      <c r="V19" s="2"/>
      <c r="W19" s="2"/>
    </row>
    <row r="20" spans="1:23" ht="13.35" customHeight="1" x14ac:dyDescent="0.2">
      <c r="A20" s="294" t="s">
        <v>153</v>
      </c>
      <c r="B20" s="298"/>
      <c r="C20" s="294"/>
      <c r="D20" s="635">
        <f>+'Sch B COS'!X361</f>
        <v>362210.93813805585</v>
      </c>
      <c r="E20" s="294"/>
      <c r="F20" s="299">
        <f>+'Sch B COS'!X362</f>
        <v>2.5499999999999998E-2</v>
      </c>
      <c r="G20" s="2"/>
      <c r="H20" s="2"/>
      <c r="I20" s="2"/>
      <c r="J20" s="2"/>
      <c r="K20" s="2"/>
      <c r="L20" s="2"/>
      <c r="M20" s="2"/>
      <c r="N20" s="2"/>
      <c r="O20" s="2"/>
      <c r="P20" s="2"/>
      <c r="Q20" s="2"/>
      <c r="R20" s="2"/>
      <c r="S20" s="2"/>
      <c r="T20" s="2"/>
      <c r="U20" s="2"/>
      <c r="V20" s="2"/>
      <c r="W20" s="2"/>
    </row>
    <row r="21" spans="1:23" x14ac:dyDescent="0.2">
      <c r="A21" s="294"/>
      <c r="B21" s="298"/>
      <c r="C21" s="294"/>
      <c r="D21" s="638"/>
      <c r="E21" s="294"/>
      <c r="F21" s="303"/>
      <c r="G21" s="2"/>
      <c r="H21" s="2"/>
      <c r="I21" s="2"/>
      <c r="J21" s="2"/>
      <c r="K21" s="2"/>
      <c r="L21" s="2"/>
      <c r="M21" s="2"/>
      <c r="N21" s="2"/>
      <c r="O21" s="2"/>
      <c r="P21" s="2"/>
      <c r="Q21" s="2"/>
      <c r="R21" s="2"/>
      <c r="S21" s="2"/>
      <c r="T21" s="2"/>
      <c r="U21" s="2"/>
      <c r="V21" s="2"/>
      <c r="W21" s="2"/>
    </row>
    <row r="22" spans="1:23" ht="15.75" thickBot="1" x14ac:dyDescent="0.25">
      <c r="A22" s="294" t="s">
        <v>154</v>
      </c>
      <c r="B22" s="298"/>
      <c r="C22" s="294"/>
      <c r="D22" s="639">
        <f>SUM(D14:D21)</f>
        <v>14217278.486304088</v>
      </c>
      <c r="E22" s="294"/>
      <c r="F22" s="299">
        <f>SUM(F14:F21)</f>
        <v>1</v>
      </c>
      <c r="G22" s="2"/>
      <c r="H22" s="2"/>
      <c r="I22" s="2"/>
      <c r="J22" s="2"/>
      <c r="K22" s="2"/>
      <c r="L22" s="2"/>
      <c r="M22" s="2"/>
      <c r="N22" s="2"/>
      <c r="O22" s="2"/>
      <c r="P22" s="2"/>
      <c r="Q22" s="2"/>
      <c r="R22" s="2"/>
      <c r="S22" s="2"/>
      <c r="T22" s="2"/>
      <c r="U22" s="2"/>
      <c r="V22" s="2"/>
      <c r="W22" s="2"/>
    </row>
    <row r="23" spans="1:23" ht="15.75" thickTop="1" x14ac:dyDescent="0.2">
      <c r="A23" s="2"/>
      <c r="B23" s="2"/>
      <c r="C23" s="2"/>
      <c r="D23" s="640"/>
      <c r="E23" s="11"/>
      <c r="F23" s="6"/>
      <c r="G23" s="2"/>
      <c r="H23" s="2"/>
      <c r="I23" s="2"/>
      <c r="J23" s="2"/>
      <c r="K23" s="2"/>
      <c r="L23" s="2"/>
      <c r="M23" s="2"/>
      <c r="N23" s="2"/>
      <c r="O23" s="2"/>
      <c r="P23" s="2"/>
      <c r="Q23" s="2"/>
      <c r="R23" s="2"/>
      <c r="S23" s="2"/>
      <c r="T23" s="2"/>
      <c r="U23" s="2"/>
      <c r="V23" s="2"/>
      <c r="W23" s="2"/>
    </row>
    <row r="24" spans="1:23" x14ac:dyDescent="0.2">
      <c r="A24" s="294" t="s">
        <v>2</v>
      </c>
      <c r="B24" s="294"/>
      <c r="C24" s="294"/>
      <c r="D24" s="635"/>
      <c r="E24" s="294"/>
      <c r="F24" s="294"/>
      <c r="G24" s="2"/>
      <c r="H24" s="2"/>
      <c r="I24" s="2"/>
      <c r="J24" s="2"/>
      <c r="K24" s="2"/>
      <c r="L24" s="2"/>
      <c r="M24" s="2"/>
      <c r="N24" s="2"/>
      <c r="O24" s="2"/>
      <c r="P24" s="2"/>
      <c r="Q24" s="2"/>
      <c r="R24" s="2"/>
      <c r="S24" s="2"/>
      <c r="T24" s="2"/>
      <c r="U24" s="2"/>
      <c r="V24" s="2"/>
      <c r="W24" s="2"/>
    </row>
    <row r="25" spans="1:23" x14ac:dyDescent="0.2">
      <c r="A25" s="294"/>
      <c r="B25" s="294"/>
      <c r="C25" s="294"/>
      <c r="D25" s="635"/>
      <c r="E25" s="294"/>
      <c r="F25" s="294"/>
      <c r="G25" s="2"/>
      <c r="H25" s="2"/>
      <c r="I25" s="2"/>
      <c r="J25" s="2"/>
      <c r="K25" s="2"/>
      <c r="L25" s="2"/>
      <c r="M25" s="2"/>
      <c r="N25" s="2"/>
      <c r="O25" s="2"/>
      <c r="P25" s="2"/>
      <c r="Q25" s="2"/>
      <c r="R25" s="2"/>
      <c r="S25" s="2"/>
      <c r="T25" s="2"/>
      <c r="U25" s="2"/>
      <c r="V25" s="2"/>
      <c r="W25" s="2"/>
    </row>
    <row r="26" spans="1:23" ht="29.25" customHeight="1" x14ac:dyDescent="0.2">
      <c r="A26" s="708" t="s">
        <v>382</v>
      </c>
      <c r="B26" s="708"/>
      <c r="C26" s="708"/>
      <c r="D26" s="708"/>
      <c r="E26" s="708"/>
      <c r="F26" s="708"/>
      <c r="G26" s="2"/>
      <c r="H26" s="2"/>
      <c r="I26" s="2"/>
      <c r="J26" s="2"/>
      <c r="K26" s="2"/>
      <c r="L26" s="2"/>
      <c r="M26" s="2"/>
      <c r="N26" s="2"/>
      <c r="O26" s="2"/>
      <c r="P26" s="2"/>
      <c r="Q26" s="2"/>
      <c r="R26" s="2"/>
      <c r="S26" s="2"/>
      <c r="T26" s="2"/>
      <c r="U26" s="2"/>
      <c r="V26" s="2"/>
      <c r="W26" s="2"/>
    </row>
    <row r="27" spans="1:23" x14ac:dyDescent="0.2">
      <c r="A27" s="294"/>
      <c r="B27" s="294"/>
      <c r="C27" s="294"/>
      <c r="D27" s="635"/>
      <c r="E27" s="294"/>
      <c r="F27" s="294"/>
      <c r="G27" s="2"/>
      <c r="H27" s="2"/>
      <c r="I27" s="2"/>
      <c r="J27" s="2"/>
      <c r="K27" s="2"/>
      <c r="L27" s="2"/>
      <c r="M27" s="2"/>
      <c r="N27" s="2"/>
      <c r="O27" s="2"/>
      <c r="P27" s="2"/>
      <c r="Q27" s="2"/>
      <c r="R27" s="2"/>
      <c r="S27" s="2"/>
      <c r="T27" s="2"/>
      <c r="U27" s="2"/>
      <c r="V27" s="2"/>
      <c r="W27" s="2"/>
    </row>
    <row r="28" spans="1:23" x14ac:dyDescent="0.2">
      <c r="A28" s="294"/>
      <c r="B28" s="294"/>
      <c r="C28" s="294"/>
      <c r="D28" s="636" t="s">
        <v>308</v>
      </c>
      <c r="E28" s="295"/>
      <c r="F28" s="295"/>
      <c r="G28" s="2"/>
      <c r="H28" s="2"/>
      <c r="I28" s="2"/>
      <c r="J28" s="2"/>
      <c r="K28" s="2"/>
      <c r="L28" s="2"/>
      <c r="M28" s="2"/>
      <c r="N28" s="2"/>
      <c r="O28" s="2"/>
      <c r="P28" s="2"/>
      <c r="Q28" s="2"/>
      <c r="R28" s="2"/>
      <c r="S28" s="2"/>
      <c r="T28" s="2"/>
      <c r="U28" s="2"/>
      <c r="V28" s="2"/>
      <c r="W28" s="2"/>
    </row>
    <row r="29" spans="1:23" x14ac:dyDescent="0.2">
      <c r="A29" s="293" t="s">
        <v>138</v>
      </c>
      <c r="B29" s="293"/>
      <c r="C29" s="294"/>
      <c r="D29" s="636" t="s">
        <v>304</v>
      </c>
      <c r="E29" s="295"/>
      <c r="F29" s="295" t="s">
        <v>140</v>
      </c>
      <c r="G29" s="2"/>
      <c r="H29" s="2"/>
      <c r="I29" s="2"/>
      <c r="J29" s="2"/>
      <c r="K29" s="2"/>
      <c r="L29" s="2"/>
      <c r="M29" s="2"/>
      <c r="N29" s="2"/>
      <c r="O29" s="2"/>
      <c r="P29" s="2"/>
      <c r="Q29" s="2"/>
      <c r="R29" s="2"/>
      <c r="S29" s="2"/>
      <c r="T29" s="2"/>
      <c r="U29" s="2"/>
      <c r="V29" s="2"/>
      <c r="W29" s="2"/>
    </row>
    <row r="30" spans="1:23" x14ac:dyDescent="0.2">
      <c r="A30" s="293" t="s">
        <v>141</v>
      </c>
      <c r="B30" s="293"/>
      <c r="C30" s="294"/>
      <c r="D30" s="636" t="s">
        <v>299</v>
      </c>
      <c r="E30" s="295"/>
      <c r="F30" s="295" t="s">
        <v>142</v>
      </c>
      <c r="G30" s="2"/>
      <c r="H30" s="2"/>
      <c r="I30" s="2"/>
      <c r="J30" s="2"/>
      <c r="K30" s="2"/>
      <c r="L30" s="2"/>
      <c r="M30" s="2"/>
      <c r="N30" s="2"/>
      <c r="O30" s="2"/>
      <c r="P30" s="2"/>
      <c r="Q30" s="2"/>
      <c r="R30" s="2"/>
      <c r="S30" s="2"/>
      <c r="T30" s="2"/>
      <c r="U30" s="2"/>
      <c r="V30" s="2"/>
      <c r="W30" s="2"/>
    </row>
    <row r="31" spans="1:23" x14ac:dyDescent="0.2">
      <c r="A31" s="296" t="s">
        <v>143</v>
      </c>
      <c r="B31" s="296"/>
      <c r="C31" s="294"/>
      <c r="D31" s="637" t="s">
        <v>163</v>
      </c>
      <c r="E31" s="295" t="s">
        <v>261</v>
      </c>
      <c r="F31" s="297" t="s">
        <v>145</v>
      </c>
      <c r="G31" s="2"/>
      <c r="H31" s="2"/>
      <c r="I31" s="2"/>
      <c r="J31" s="2"/>
      <c r="K31" s="2"/>
      <c r="L31" s="2"/>
      <c r="M31" s="2"/>
      <c r="N31" s="2"/>
      <c r="O31" s="2"/>
      <c r="P31" s="2"/>
      <c r="Q31" s="2"/>
      <c r="R31" s="2"/>
      <c r="S31" s="2"/>
      <c r="T31" s="2"/>
      <c r="U31" s="2"/>
      <c r="V31" s="2"/>
      <c r="W31" s="2"/>
    </row>
    <row r="32" spans="1:23" ht="12.75" customHeight="1" x14ac:dyDescent="0.2">
      <c r="A32" s="294"/>
      <c r="B32" s="298"/>
      <c r="C32" s="294"/>
      <c r="D32" s="635"/>
      <c r="E32" s="294"/>
      <c r="F32" s="299"/>
      <c r="G32" s="2"/>
      <c r="H32" s="2"/>
      <c r="I32" s="2"/>
      <c r="J32" s="2"/>
      <c r="K32" s="2"/>
      <c r="L32" s="2"/>
      <c r="M32" s="2"/>
      <c r="N32" s="2"/>
      <c r="O32" s="2"/>
      <c r="P32" s="2"/>
      <c r="Q32" s="2"/>
      <c r="R32" s="2"/>
      <c r="S32" s="2"/>
      <c r="T32" s="2"/>
      <c r="U32" s="2"/>
      <c r="V32" s="2"/>
      <c r="W32" s="2"/>
    </row>
    <row r="33" spans="1:23" ht="13.35" customHeight="1" x14ac:dyDescent="0.2">
      <c r="A33" s="294" t="s">
        <v>146</v>
      </c>
      <c r="B33" s="298"/>
      <c r="C33" s="294"/>
      <c r="D33" s="603">
        <f>+'Sch B COS'!L363</f>
        <v>23291858.122464225</v>
      </c>
      <c r="E33" s="294"/>
      <c r="F33" s="300">
        <f>+'Sch B COS'!L364</f>
        <v>0.61990000000000001</v>
      </c>
      <c r="G33" s="2"/>
      <c r="H33" s="2"/>
      <c r="I33" s="2"/>
      <c r="J33" s="2"/>
      <c r="K33" s="2"/>
      <c r="L33" s="2"/>
      <c r="M33" s="2"/>
      <c r="N33" s="2"/>
      <c r="O33" s="2"/>
      <c r="P33" s="2"/>
      <c r="Q33" s="2"/>
      <c r="R33" s="2"/>
      <c r="S33" s="2"/>
      <c r="T33" s="2"/>
      <c r="U33" s="2"/>
      <c r="V33" s="2"/>
      <c r="W33" s="2"/>
    </row>
    <row r="34" spans="1:23" ht="13.35" customHeight="1" x14ac:dyDescent="0.2">
      <c r="A34" s="294" t="s">
        <v>147</v>
      </c>
      <c r="B34" s="298"/>
      <c r="C34" s="294"/>
      <c r="D34" s="635">
        <f>+'Sch B COS'!N363</f>
        <v>8671330.4386803731</v>
      </c>
      <c r="E34" s="294"/>
      <c r="F34" s="299">
        <f>+'Sch B COS'!N364</f>
        <v>0.23080000000000001</v>
      </c>
      <c r="G34" s="2"/>
      <c r="H34" s="2"/>
      <c r="I34" s="2"/>
      <c r="J34" s="2"/>
      <c r="K34" s="2"/>
      <c r="L34" s="2"/>
      <c r="M34" s="2"/>
      <c r="N34" s="2"/>
      <c r="O34" s="2"/>
      <c r="P34" s="2"/>
      <c r="Q34" s="2"/>
      <c r="R34" s="2"/>
      <c r="S34" s="2"/>
      <c r="T34" s="2"/>
      <c r="U34" s="2"/>
      <c r="V34" s="2"/>
      <c r="W34" s="2"/>
    </row>
    <row r="35" spans="1:23" ht="13.35" customHeight="1" x14ac:dyDescent="0.2">
      <c r="A35" s="294" t="s">
        <v>148</v>
      </c>
      <c r="B35" s="298"/>
      <c r="C35" s="294"/>
      <c r="D35" s="635">
        <f>+'Sch B COS'!P363</f>
        <v>1091520.1206185431</v>
      </c>
      <c r="E35" s="294"/>
      <c r="F35" s="299">
        <f>+'Sch B COS'!P364</f>
        <v>2.9000000000000001E-2</v>
      </c>
      <c r="G35" s="2"/>
      <c r="H35" s="2"/>
      <c r="I35" s="2"/>
      <c r="J35" s="2"/>
      <c r="K35" s="2"/>
      <c r="L35" s="2"/>
      <c r="M35" s="2"/>
      <c r="N35" s="2"/>
      <c r="O35" s="2"/>
      <c r="P35" s="2"/>
      <c r="Q35" s="2"/>
      <c r="R35" s="2"/>
      <c r="S35" s="2"/>
      <c r="T35" s="2"/>
      <c r="U35" s="2"/>
      <c r="V35" s="2"/>
      <c r="W35" s="2"/>
    </row>
    <row r="36" spans="1:23" ht="13.35" customHeight="1" x14ac:dyDescent="0.2">
      <c r="A36" s="294" t="s">
        <v>150</v>
      </c>
      <c r="B36" s="298"/>
      <c r="C36" s="294"/>
      <c r="D36" s="635">
        <f>+'Sch B COS'!R363</f>
        <v>2255703.0253652064</v>
      </c>
      <c r="E36" s="294"/>
      <c r="F36" s="299">
        <f>+'Sch B COS'!R364</f>
        <v>0.06</v>
      </c>
      <c r="G36" s="2"/>
      <c r="H36" s="2"/>
      <c r="I36" s="2"/>
      <c r="J36" s="2"/>
      <c r="K36" s="2"/>
      <c r="L36" s="2"/>
      <c r="M36" s="2"/>
      <c r="N36" s="2"/>
      <c r="O36" s="2"/>
      <c r="P36" s="2"/>
      <c r="Q36" s="2"/>
      <c r="R36" s="2"/>
      <c r="S36" s="2"/>
      <c r="T36" s="2"/>
      <c r="U36" s="2"/>
      <c r="V36" s="2"/>
      <c r="W36" s="2"/>
    </row>
    <row r="37" spans="1:23" ht="13.35" customHeight="1" x14ac:dyDescent="0.2">
      <c r="A37" s="294" t="s">
        <v>267</v>
      </c>
      <c r="B37" s="298"/>
      <c r="C37" s="294"/>
      <c r="D37" s="635">
        <f>+'Sch B COS'!T363</f>
        <v>736960.92375204957</v>
      </c>
      <c r="E37" s="294"/>
      <c r="F37" s="299">
        <f>+'Sch B COS'!T364</f>
        <v>1.9599999999999999E-2</v>
      </c>
      <c r="G37" s="2"/>
      <c r="H37" s="2"/>
      <c r="I37" s="2"/>
      <c r="J37" s="2"/>
      <c r="K37" s="2"/>
      <c r="L37" s="2"/>
      <c r="M37" s="2"/>
      <c r="N37" s="2"/>
      <c r="O37" s="2"/>
      <c r="P37" s="2"/>
      <c r="Q37" s="2"/>
      <c r="R37" s="2"/>
      <c r="S37" s="2"/>
      <c r="T37" s="2"/>
      <c r="U37" s="2"/>
      <c r="V37" s="2"/>
      <c r="W37" s="2"/>
    </row>
    <row r="38" spans="1:23" ht="13.35" customHeight="1" x14ac:dyDescent="0.2">
      <c r="A38" s="294" t="s">
        <v>152</v>
      </c>
      <c r="B38" s="298"/>
      <c r="C38" s="294"/>
      <c r="D38" s="635">
        <f>+'Sch B COS'!V363</f>
        <v>815312.68447500339</v>
      </c>
      <c r="E38" s="294"/>
      <c r="F38" s="299">
        <f>+'Sch B COS'!V364</f>
        <v>2.1700000000000001E-2</v>
      </c>
      <c r="G38" s="2"/>
      <c r="H38" s="2"/>
      <c r="I38" s="2"/>
      <c r="J38" s="2"/>
      <c r="K38" s="2"/>
      <c r="L38" s="2"/>
      <c r="M38" s="2"/>
      <c r="N38" s="2"/>
      <c r="O38" s="2"/>
      <c r="P38" s="2"/>
      <c r="Q38" s="2"/>
      <c r="R38" s="2"/>
      <c r="S38" s="2"/>
      <c r="T38" s="2"/>
      <c r="U38" s="2"/>
      <c r="V38" s="2"/>
      <c r="W38" s="2"/>
    </row>
    <row r="39" spans="1:23" ht="13.35" customHeight="1" x14ac:dyDescent="0.2">
      <c r="A39" s="294" t="s">
        <v>153</v>
      </c>
      <c r="B39" s="298"/>
      <c r="C39" s="294"/>
      <c r="D39" s="635">
        <f>+'Sch B COS'!X363</f>
        <v>715818.33094766678</v>
      </c>
      <c r="E39" s="294"/>
      <c r="F39" s="299">
        <f>+'Sch B COS'!X364</f>
        <v>1.9E-2</v>
      </c>
      <c r="G39" s="2"/>
      <c r="H39" s="2"/>
      <c r="I39" s="2"/>
      <c r="J39" s="2"/>
      <c r="K39" s="2"/>
      <c r="L39" s="2"/>
      <c r="M39" s="2"/>
      <c r="N39" s="2"/>
      <c r="O39" s="2"/>
      <c r="P39" s="2"/>
      <c r="Q39" s="2"/>
      <c r="R39" s="2"/>
      <c r="S39" s="2"/>
      <c r="T39" s="2"/>
      <c r="U39" s="2"/>
      <c r="V39" s="2"/>
      <c r="W39" s="2"/>
    </row>
    <row r="40" spans="1:23" x14ac:dyDescent="0.2">
      <c r="A40" s="294"/>
      <c r="B40" s="298"/>
      <c r="C40" s="294"/>
      <c r="D40" s="638"/>
      <c r="E40" s="294"/>
      <c r="F40" s="303"/>
      <c r="G40" s="2"/>
      <c r="H40" s="2"/>
      <c r="I40" s="2"/>
      <c r="J40" s="2"/>
      <c r="K40" s="2"/>
      <c r="L40" s="2"/>
      <c r="M40" s="2"/>
      <c r="N40" s="2"/>
      <c r="O40" s="2"/>
      <c r="P40" s="2"/>
      <c r="Q40" s="2"/>
      <c r="R40" s="2"/>
      <c r="S40" s="2"/>
      <c r="T40" s="2"/>
      <c r="U40" s="2"/>
      <c r="V40" s="2"/>
      <c r="W40" s="2"/>
    </row>
    <row r="41" spans="1:23" ht="15.75" thickBot="1" x14ac:dyDescent="0.25">
      <c r="A41" s="294" t="s">
        <v>154</v>
      </c>
      <c r="B41" s="298"/>
      <c r="C41" s="294"/>
      <c r="D41" s="639">
        <f>SUM(D33:D40)</f>
        <v>37578503.646303065</v>
      </c>
      <c r="E41" s="294"/>
      <c r="F41" s="299">
        <f>SUM(F33:F40)</f>
        <v>1</v>
      </c>
      <c r="G41" s="2"/>
      <c r="H41" s="2"/>
      <c r="I41" s="2"/>
      <c r="J41" s="2"/>
      <c r="K41" s="2"/>
      <c r="L41" s="2"/>
      <c r="M41" s="2"/>
      <c r="N41" s="2"/>
      <c r="O41" s="2"/>
      <c r="P41" s="2"/>
      <c r="Q41" s="2"/>
      <c r="R41" s="2"/>
      <c r="S41" s="2"/>
      <c r="T41" s="2"/>
      <c r="U41" s="2"/>
      <c r="V41" s="2"/>
      <c r="W41" s="2"/>
    </row>
    <row r="42" spans="1:23" ht="15.75" thickTop="1" x14ac:dyDescent="0.2">
      <c r="A42" s="2"/>
      <c r="B42" s="2"/>
      <c r="C42" s="2"/>
      <c r="D42" s="119"/>
      <c r="E42" s="2"/>
      <c r="F42" s="2"/>
      <c r="G42" s="2"/>
      <c r="H42" s="2"/>
      <c r="I42" s="2"/>
      <c r="J42" s="2"/>
      <c r="K42" s="2"/>
      <c r="L42" s="2"/>
      <c r="M42" s="2"/>
      <c r="N42" s="2"/>
      <c r="O42" s="2"/>
      <c r="P42" s="2"/>
      <c r="Q42" s="2"/>
      <c r="R42" s="2"/>
      <c r="S42" s="2"/>
      <c r="T42" s="2"/>
      <c r="U42" s="2"/>
      <c r="V42" s="2"/>
      <c r="W42" s="2"/>
    </row>
    <row r="43" spans="1:23" x14ac:dyDescent="0.2">
      <c r="A43" s="2"/>
      <c r="B43" s="2"/>
      <c r="C43" s="2"/>
      <c r="D43" s="119"/>
      <c r="E43" s="2"/>
      <c r="F43" s="2"/>
      <c r="G43" s="2"/>
      <c r="H43" s="2"/>
      <c r="I43" s="2"/>
      <c r="J43" s="2"/>
      <c r="K43" s="2"/>
      <c r="L43" s="2"/>
      <c r="M43" s="2"/>
      <c r="N43" s="2"/>
      <c r="O43" s="2"/>
      <c r="P43" s="2"/>
      <c r="Q43" s="2"/>
      <c r="R43" s="2"/>
      <c r="S43" s="2"/>
      <c r="T43" s="2"/>
      <c r="U43" s="2"/>
      <c r="V43" s="2"/>
      <c r="W43" s="2"/>
    </row>
    <row r="44" spans="1:23" x14ac:dyDescent="0.2">
      <c r="A44" s="15" t="s">
        <v>8</v>
      </c>
      <c r="B44" s="1"/>
      <c r="C44" s="15"/>
      <c r="D44" s="633"/>
      <c r="E44" s="1"/>
      <c r="F44" s="1"/>
      <c r="G44" s="2"/>
      <c r="H44" s="2"/>
      <c r="I44" s="2"/>
      <c r="J44" s="2"/>
      <c r="K44" s="2"/>
      <c r="L44" s="2"/>
      <c r="M44" s="2"/>
      <c r="N44" s="2"/>
      <c r="O44" s="2"/>
      <c r="P44" s="2"/>
      <c r="Q44" s="2"/>
      <c r="R44" s="2"/>
      <c r="S44" s="2"/>
      <c r="T44" s="2"/>
      <c r="U44" s="2"/>
      <c r="V44" s="2"/>
      <c r="W44" s="2"/>
    </row>
    <row r="45" spans="1:23" x14ac:dyDescent="0.2">
      <c r="A45" s="1"/>
      <c r="B45" s="1"/>
      <c r="C45" s="1"/>
      <c r="D45" s="633"/>
      <c r="E45" s="1"/>
      <c r="F45" s="1"/>
      <c r="G45" s="2"/>
      <c r="H45" s="2"/>
      <c r="I45" s="2"/>
      <c r="J45" s="2"/>
      <c r="K45" s="2"/>
      <c r="L45" s="2"/>
      <c r="M45" s="2"/>
      <c r="N45" s="2"/>
      <c r="O45" s="2"/>
      <c r="P45" s="2"/>
      <c r="Q45" s="2"/>
      <c r="R45" s="2"/>
      <c r="S45" s="2"/>
      <c r="T45" s="2"/>
      <c r="U45" s="2"/>
      <c r="V45" s="2"/>
      <c r="W45" s="2"/>
    </row>
    <row r="46" spans="1:23" x14ac:dyDescent="0.2">
      <c r="A46" s="293" t="s">
        <v>170</v>
      </c>
      <c r="B46" s="293"/>
      <c r="C46" s="293"/>
      <c r="D46" s="634"/>
      <c r="E46" s="293"/>
      <c r="F46" s="293"/>
      <c r="G46" s="2"/>
      <c r="H46" s="2"/>
      <c r="I46" s="2"/>
      <c r="J46" s="2"/>
      <c r="K46" s="2"/>
      <c r="L46" s="2"/>
      <c r="M46" s="2"/>
      <c r="N46" s="2"/>
      <c r="O46" s="2"/>
      <c r="P46" s="2"/>
      <c r="Q46" s="2"/>
      <c r="R46" s="2"/>
      <c r="S46" s="2"/>
      <c r="T46" s="2"/>
      <c r="U46" s="2"/>
      <c r="V46" s="2"/>
      <c r="W46" s="2"/>
    </row>
    <row r="47" spans="1:23" x14ac:dyDescent="0.2">
      <c r="A47" s="294"/>
      <c r="B47" s="294"/>
      <c r="C47" s="294"/>
      <c r="D47" s="635"/>
      <c r="E47" s="294"/>
      <c r="F47" s="294"/>
      <c r="G47" s="2"/>
      <c r="H47" s="2"/>
      <c r="I47" s="2"/>
      <c r="J47" s="2"/>
      <c r="K47" s="2"/>
      <c r="L47" s="2"/>
      <c r="M47" s="2"/>
      <c r="N47" s="2"/>
      <c r="O47" s="51"/>
      <c r="P47" s="2"/>
      <c r="Q47" s="2"/>
      <c r="R47" s="2"/>
      <c r="S47" s="2"/>
      <c r="T47" s="2"/>
      <c r="U47" s="2"/>
      <c r="V47" s="2"/>
      <c r="W47" s="2"/>
    </row>
    <row r="48" spans="1:23" x14ac:dyDescent="0.2">
      <c r="A48" s="294" t="s">
        <v>309</v>
      </c>
      <c r="B48" s="294"/>
      <c r="C48" s="294"/>
      <c r="D48" s="635"/>
      <c r="E48" s="294"/>
      <c r="F48" s="294"/>
      <c r="G48" s="2"/>
      <c r="O48" s="51"/>
      <c r="P48" s="2"/>
      <c r="Q48" s="2"/>
      <c r="R48" s="2"/>
      <c r="S48" s="2"/>
      <c r="T48" s="2"/>
      <c r="U48" s="2"/>
      <c r="V48" s="2"/>
      <c r="W48" s="2"/>
    </row>
    <row r="49" spans="1:23" x14ac:dyDescent="0.2">
      <c r="A49" s="294"/>
      <c r="B49" s="294"/>
      <c r="C49" s="294"/>
      <c r="D49" s="635"/>
      <c r="E49" s="294"/>
      <c r="F49" s="294"/>
      <c r="G49" s="2"/>
      <c r="O49" s="51"/>
      <c r="P49" s="2"/>
      <c r="Q49" s="2"/>
      <c r="R49" s="2"/>
      <c r="S49" s="2"/>
      <c r="T49" s="2"/>
      <c r="U49" s="2"/>
      <c r="V49" s="2"/>
      <c r="W49" s="2"/>
    </row>
    <row r="50" spans="1:23" ht="14.65" customHeight="1" x14ac:dyDescent="0.2">
      <c r="A50" s="708" t="s">
        <v>121</v>
      </c>
      <c r="B50" s="708"/>
      <c r="C50" s="708"/>
      <c r="D50" s="708"/>
      <c r="E50" s="708"/>
      <c r="F50" s="708"/>
      <c r="G50" s="2"/>
      <c r="O50" s="51"/>
      <c r="P50" s="2"/>
      <c r="Q50" s="2"/>
      <c r="R50" s="2"/>
      <c r="S50" s="2"/>
      <c r="T50" s="2"/>
      <c r="U50" s="2"/>
      <c r="V50" s="2"/>
      <c r="W50" s="2"/>
    </row>
    <row r="51" spans="1:23" x14ac:dyDescent="0.2">
      <c r="A51" s="294"/>
      <c r="B51" s="294"/>
      <c r="C51" s="294"/>
      <c r="D51" s="635"/>
      <c r="E51" s="294"/>
      <c r="F51" s="294"/>
      <c r="G51" s="2"/>
      <c r="O51" s="2"/>
      <c r="P51" s="2"/>
      <c r="Q51" s="2"/>
      <c r="R51" s="2"/>
      <c r="S51" s="2"/>
      <c r="T51" s="2"/>
      <c r="U51" s="2"/>
      <c r="V51" s="2"/>
      <c r="W51" s="2"/>
    </row>
    <row r="52" spans="1:23" x14ac:dyDescent="0.2">
      <c r="A52" s="293" t="s">
        <v>138</v>
      </c>
      <c r="B52" s="293"/>
      <c r="C52" s="294"/>
      <c r="D52" s="636" t="s">
        <v>310</v>
      </c>
      <c r="E52" s="295"/>
      <c r="F52" s="295" t="s">
        <v>140</v>
      </c>
      <c r="G52" s="2"/>
      <c r="O52" s="2"/>
      <c r="P52" s="2"/>
      <c r="Q52" s="2"/>
      <c r="R52" s="2"/>
      <c r="S52" s="2"/>
      <c r="T52" s="2"/>
      <c r="U52" s="2"/>
      <c r="V52" s="2"/>
      <c r="W52" s="2"/>
    </row>
    <row r="53" spans="1:23" x14ac:dyDescent="0.2">
      <c r="A53" s="293" t="s">
        <v>141</v>
      </c>
      <c r="B53" s="293"/>
      <c r="C53" s="294"/>
      <c r="D53" s="636" t="s">
        <v>311</v>
      </c>
      <c r="E53" s="295"/>
      <c r="F53" s="295" t="s">
        <v>142</v>
      </c>
      <c r="G53" s="2"/>
      <c r="O53" s="2"/>
      <c r="P53" s="2"/>
      <c r="Q53" s="2"/>
      <c r="R53" s="2"/>
      <c r="S53" s="2"/>
      <c r="T53" s="2"/>
      <c r="U53" s="2"/>
      <c r="V53" s="2"/>
      <c r="W53" s="2"/>
    </row>
    <row r="54" spans="1:23" x14ac:dyDescent="0.2">
      <c r="A54" s="296" t="s">
        <v>143</v>
      </c>
      <c r="B54" s="296"/>
      <c r="C54" s="294"/>
      <c r="D54" s="637" t="s">
        <v>163</v>
      </c>
      <c r="E54" s="295" t="s">
        <v>261</v>
      </c>
      <c r="F54" s="297" t="s">
        <v>145</v>
      </c>
      <c r="G54" s="2"/>
      <c r="O54" s="2"/>
      <c r="P54" s="2"/>
      <c r="Q54" s="2"/>
      <c r="R54" s="2"/>
      <c r="S54" s="2"/>
      <c r="T54" s="2"/>
      <c r="U54" s="2"/>
      <c r="V54" s="2"/>
      <c r="W54" s="2"/>
    </row>
    <row r="55" spans="1:23" x14ac:dyDescent="0.2">
      <c r="A55" s="294"/>
      <c r="B55" s="298"/>
      <c r="C55" s="294"/>
      <c r="D55" s="635"/>
      <c r="E55" s="294"/>
      <c r="F55" s="299"/>
      <c r="G55" s="2"/>
      <c r="O55" s="2"/>
      <c r="P55" s="2"/>
      <c r="Q55" s="2"/>
      <c r="R55" s="2"/>
      <c r="S55" s="2"/>
      <c r="T55" s="2"/>
      <c r="U55" s="2"/>
      <c r="V55" s="2"/>
      <c r="W55" s="2"/>
    </row>
    <row r="56" spans="1:23" x14ac:dyDescent="0.2">
      <c r="A56" s="294" t="s">
        <v>146</v>
      </c>
      <c r="B56" s="298"/>
      <c r="C56" s="294"/>
      <c r="D56" s="603">
        <f>+'Sch B COS'!L365</f>
        <v>4802143.2749740444</v>
      </c>
      <c r="E56" s="294"/>
      <c r="F56" s="300">
        <f>+'Sch B COS'!L366</f>
        <v>0.61550000000000005</v>
      </c>
      <c r="G56" s="2"/>
      <c r="O56" s="2"/>
      <c r="P56" s="2"/>
      <c r="Q56" s="2"/>
      <c r="R56" s="2"/>
      <c r="S56" s="2"/>
      <c r="T56" s="2"/>
      <c r="U56" s="2"/>
      <c r="V56" s="2"/>
      <c r="W56" s="2"/>
    </row>
    <row r="57" spans="1:23" x14ac:dyDescent="0.2">
      <c r="A57" s="294" t="s">
        <v>147</v>
      </c>
      <c r="B57" s="298"/>
      <c r="C57" s="294"/>
      <c r="D57" s="635">
        <f>+'Sch B COS'!N365</f>
        <v>1845994.8281939593</v>
      </c>
      <c r="E57" s="294"/>
      <c r="F57" s="299">
        <f>+'Sch B COS'!N366</f>
        <v>0.2366</v>
      </c>
      <c r="G57" s="2"/>
      <c r="O57" s="2"/>
      <c r="P57" s="2"/>
      <c r="Q57" s="2"/>
      <c r="R57" s="2"/>
      <c r="S57" s="2"/>
      <c r="T57" s="2"/>
      <c r="U57" s="2"/>
      <c r="V57" s="2"/>
      <c r="W57" s="2"/>
    </row>
    <row r="58" spans="1:23" x14ac:dyDescent="0.2">
      <c r="A58" s="294" t="s">
        <v>148</v>
      </c>
      <c r="B58" s="298"/>
      <c r="C58" s="294"/>
      <c r="D58" s="635">
        <f>+'Sch B COS'!P365</f>
        <v>218708.85488792814</v>
      </c>
      <c r="E58" s="294"/>
      <c r="F58" s="299">
        <f>+'Sch B COS'!P366</f>
        <v>2.8000000000000001E-2</v>
      </c>
      <c r="G58" s="2"/>
      <c r="O58" s="2"/>
      <c r="P58" s="2"/>
      <c r="Q58" s="2"/>
      <c r="R58" s="2"/>
      <c r="S58" s="2"/>
      <c r="T58" s="2"/>
      <c r="U58" s="2"/>
      <c r="V58" s="2"/>
      <c r="W58" s="2"/>
    </row>
    <row r="59" spans="1:23" x14ac:dyDescent="0.2">
      <c r="A59" s="294" t="s">
        <v>150</v>
      </c>
      <c r="B59" s="298"/>
      <c r="C59" s="294"/>
      <c r="D59" s="635">
        <f>+'Sch B COS'!R365</f>
        <v>476086.35408392537</v>
      </c>
      <c r="E59" s="294"/>
      <c r="F59" s="299">
        <f>+'Sch B COS'!R366</f>
        <v>6.0999999999999999E-2</v>
      </c>
      <c r="G59" s="2"/>
      <c r="O59" s="2"/>
      <c r="P59" s="2"/>
      <c r="Q59" s="2"/>
      <c r="R59" s="2"/>
      <c r="S59" s="2"/>
      <c r="T59" s="2"/>
      <c r="U59" s="2"/>
      <c r="V59" s="2"/>
      <c r="W59" s="2"/>
    </row>
    <row r="60" spans="1:23" ht="13.9" customHeight="1" x14ac:dyDescent="0.2">
      <c r="A60" s="294" t="s">
        <v>267</v>
      </c>
      <c r="B60" s="298"/>
      <c r="C60" s="294"/>
      <c r="D60" s="635">
        <f>+'Sch B COS'!T365</f>
        <v>146914.27686266135</v>
      </c>
      <c r="E60" s="294"/>
      <c r="F60" s="299">
        <f>+'Sch B COS'!T366</f>
        <v>1.8800000000000001E-2</v>
      </c>
      <c r="G60" s="2"/>
      <c r="O60" s="2"/>
      <c r="P60" s="2"/>
      <c r="Q60" s="2"/>
      <c r="R60" s="2"/>
      <c r="S60" s="2"/>
      <c r="T60" s="2"/>
      <c r="U60" s="2"/>
      <c r="V60" s="2"/>
      <c r="W60" s="2"/>
    </row>
    <row r="61" spans="1:23" ht="13.35" customHeight="1" x14ac:dyDescent="0.2">
      <c r="A61" s="294" t="s">
        <v>152</v>
      </c>
      <c r="B61" s="298"/>
      <c r="C61" s="294"/>
      <c r="D61" s="635">
        <f>+'Sch B COS'!V365</f>
        <v>150428.39827466148</v>
      </c>
      <c r="E61" s="294"/>
      <c r="F61" s="299">
        <f>+'Sch B COS'!V366</f>
        <v>1.9300000000000001E-2</v>
      </c>
      <c r="G61" s="2"/>
      <c r="O61" s="2"/>
      <c r="P61" s="2"/>
      <c r="Q61" s="2"/>
      <c r="R61" s="2"/>
      <c r="S61" s="2"/>
      <c r="T61" s="2"/>
      <c r="U61" s="2"/>
      <c r="V61" s="2"/>
      <c r="W61" s="2"/>
    </row>
    <row r="62" spans="1:23" ht="13.35" customHeight="1" x14ac:dyDescent="0.2">
      <c r="A62" s="294" t="s">
        <v>153</v>
      </c>
      <c r="B62" s="298"/>
      <c r="C62" s="294"/>
      <c r="D62" s="635">
        <f>+'Sch B COS'!X365</f>
        <v>162173.01272282092</v>
      </c>
      <c r="E62" s="294"/>
      <c r="F62" s="299">
        <f>+'Sch B COS'!X366</f>
        <v>2.0799999999999999E-2</v>
      </c>
      <c r="G62" s="2"/>
      <c r="O62" s="2"/>
      <c r="P62" s="2"/>
      <c r="Q62" s="2"/>
      <c r="R62" s="2"/>
      <c r="S62" s="2"/>
      <c r="T62" s="2"/>
      <c r="U62" s="2"/>
      <c r="V62" s="2"/>
      <c r="W62" s="2"/>
    </row>
    <row r="63" spans="1:23" ht="13.35" customHeight="1" x14ac:dyDescent="0.2">
      <c r="A63" s="294"/>
      <c r="B63" s="298"/>
      <c r="C63" s="294"/>
      <c r="D63" s="638"/>
      <c r="E63" s="294"/>
      <c r="F63" s="303"/>
      <c r="G63" s="2"/>
      <c r="O63" s="2"/>
      <c r="P63" s="2"/>
      <c r="Q63" s="2"/>
      <c r="R63" s="2"/>
      <c r="S63" s="2"/>
      <c r="T63" s="2"/>
      <c r="U63" s="2"/>
      <c r="V63" s="2"/>
      <c r="W63" s="2"/>
    </row>
    <row r="64" spans="1:23" ht="13.35" customHeight="1" thickBot="1" x14ac:dyDescent="0.25">
      <c r="A64" s="294" t="s">
        <v>154</v>
      </c>
      <c r="B64" s="298"/>
      <c r="C64" s="294"/>
      <c r="D64" s="639">
        <f>SUM(D56:D63)</f>
        <v>7802449</v>
      </c>
      <c r="E64" s="294"/>
      <c r="F64" s="299">
        <f>SUM(F56:F63)</f>
        <v>1</v>
      </c>
      <c r="G64" s="2"/>
      <c r="O64" s="2"/>
      <c r="P64" s="2"/>
      <c r="Q64" s="2"/>
      <c r="R64" s="2"/>
      <c r="S64" s="2"/>
      <c r="T64" s="2"/>
      <c r="U64" s="2"/>
      <c r="V64" s="2"/>
      <c r="W64" s="2"/>
    </row>
    <row r="65" spans="1:23" ht="13.35" customHeight="1" thickTop="1" x14ac:dyDescent="0.2">
      <c r="A65" s="294"/>
      <c r="B65" s="294"/>
      <c r="C65" s="294"/>
      <c r="D65" s="641"/>
      <c r="E65" s="306"/>
      <c r="F65" s="307"/>
      <c r="G65" s="2"/>
      <c r="O65" s="2"/>
      <c r="P65" s="2"/>
      <c r="Q65" s="2"/>
      <c r="R65" s="2"/>
      <c r="S65" s="2"/>
      <c r="T65" s="2"/>
      <c r="U65" s="2"/>
      <c r="V65" s="2"/>
      <c r="W65" s="2"/>
    </row>
    <row r="66" spans="1:23" ht="13.35" customHeight="1" x14ac:dyDescent="0.2">
      <c r="A66" s="294"/>
      <c r="B66" s="294"/>
      <c r="C66" s="294"/>
      <c r="D66" s="635"/>
      <c r="E66" s="294"/>
      <c r="F66" s="294"/>
      <c r="G66" s="2"/>
      <c r="O66" s="2"/>
      <c r="P66" s="2"/>
      <c r="Q66" s="2"/>
      <c r="R66" s="2"/>
      <c r="S66" s="2"/>
      <c r="T66" s="2"/>
      <c r="U66" s="2"/>
      <c r="V66" s="2"/>
      <c r="W66" s="2"/>
    </row>
    <row r="67" spans="1:23" ht="13.35" customHeight="1" x14ac:dyDescent="0.2">
      <c r="A67" s="294"/>
      <c r="B67" s="294"/>
      <c r="C67" s="294"/>
      <c r="D67" s="635"/>
      <c r="E67" s="294"/>
      <c r="F67" s="294"/>
      <c r="G67" s="2"/>
      <c r="O67" s="2"/>
      <c r="P67" s="2"/>
      <c r="Q67" s="2"/>
      <c r="R67" s="2"/>
      <c r="S67" s="2"/>
      <c r="T67" s="2"/>
      <c r="U67" s="2"/>
      <c r="V67" s="2"/>
      <c r="W67" s="2"/>
    </row>
    <row r="68" spans="1:23" x14ac:dyDescent="0.2">
      <c r="A68" s="294" t="s">
        <v>102</v>
      </c>
      <c r="B68" s="294"/>
      <c r="C68" s="294"/>
      <c r="D68" s="635"/>
      <c r="E68" s="294"/>
      <c r="F68" s="294"/>
      <c r="G68" s="2"/>
      <c r="O68" s="2"/>
      <c r="P68" s="2"/>
      <c r="Q68" s="2"/>
      <c r="R68" s="2"/>
      <c r="S68" s="2"/>
      <c r="T68" s="2"/>
      <c r="U68" s="2"/>
      <c r="V68" s="2"/>
      <c r="W68" s="2"/>
    </row>
    <row r="69" spans="1:23" x14ac:dyDescent="0.2">
      <c r="A69" s="294" t="s">
        <v>124</v>
      </c>
      <c r="B69" s="294"/>
      <c r="C69" s="294"/>
      <c r="D69" s="635"/>
      <c r="E69" s="294"/>
      <c r="F69" s="294"/>
      <c r="G69" s="2"/>
      <c r="O69" s="2"/>
      <c r="P69" s="2"/>
      <c r="Q69" s="2"/>
      <c r="R69" s="2"/>
      <c r="S69" s="2"/>
      <c r="T69" s="2"/>
      <c r="U69" s="2"/>
      <c r="V69" s="2"/>
      <c r="W69" s="2"/>
    </row>
    <row r="70" spans="1:23" x14ac:dyDescent="0.2">
      <c r="A70" s="294"/>
      <c r="B70" s="294"/>
      <c r="C70" s="294"/>
      <c r="D70" s="635"/>
      <c r="E70" s="294"/>
      <c r="F70" s="294"/>
      <c r="G70" s="2"/>
      <c r="O70" s="2"/>
      <c r="P70" s="2"/>
      <c r="Q70" s="2"/>
      <c r="R70" s="2"/>
      <c r="S70" s="2"/>
      <c r="T70" s="2"/>
      <c r="U70" s="2"/>
      <c r="V70" s="2"/>
      <c r="W70" s="2"/>
    </row>
    <row r="71" spans="1:23" ht="28.15" customHeight="1" x14ac:dyDescent="0.2">
      <c r="A71" s="708" t="s">
        <v>312</v>
      </c>
      <c r="B71" s="708"/>
      <c r="C71" s="708"/>
      <c r="D71" s="708"/>
      <c r="E71" s="708"/>
      <c r="F71" s="708"/>
      <c r="G71" s="2"/>
      <c r="O71" s="2"/>
      <c r="P71" s="2"/>
      <c r="Q71" s="2"/>
      <c r="R71" s="2"/>
      <c r="S71" s="2"/>
      <c r="T71" s="2"/>
      <c r="U71" s="2"/>
      <c r="V71" s="2"/>
      <c r="W71" s="2"/>
    </row>
    <row r="72" spans="1:23" x14ac:dyDescent="0.2">
      <c r="A72" s="294"/>
      <c r="B72" s="294"/>
      <c r="C72" s="294"/>
      <c r="D72" s="635"/>
      <c r="E72" s="294"/>
      <c r="F72" s="294"/>
      <c r="G72" s="2"/>
      <c r="O72" s="2"/>
      <c r="P72" s="2"/>
      <c r="Q72" s="2"/>
      <c r="R72" s="2"/>
      <c r="S72" s="2"/>
      <c r="T72" s="2"/>
      <c r="U72" s="2"/>
      <c r="V72" s="2"/>
      <c r="W72" s="2"/>
    </row>
    <row r="73" spans="1:23" x14ac:dyDescent="0.2">
      <c r="A73" s="294"/>
      <c r="B73" s="294"/>
      <c r="C73" s="294"/>
      <c r="D73" s="636" t="s">
        <v>313</v>
      </c>
      <c r="E73" s="295"/>
      <c r="F73" s="295"/>
      <c r="G73" s="2"/>
      <c r="O73" s="2"/>
      <c r="P73" s="2"/>
      <c r="Q73" s="2"/>
      <c r="R73" s="2"/>
      <c r="S73" s="2"/>
      <c r="T73" s="2"/>
      <c r="U73" s="2"/>
      <c r="V73" s="2"/>
      <c r="W73" s="2"/>
    </row>
    <row r="74" spans="1:23" x14ac:dyDescent="0.2">
      <c r="A74" s="293" t="s">
        <v>138</v>
      </c>
      <c r="B74" s="293"/>
      <c r="C74" s="294"/>
      <c r="D74" s="636" t="s">
        <v>314</v>
      </c>
      <c r="E74" s="295"/>
      <c r="F74" s="295" t="s">
        <v>140</v>
      </c>
      <c r="G74" s="2"/>
      <c r="O74" s="2"/>
      <c r="P74" s="2"/>
      <c r="Q74" s="2"/>
      <c r="R74" s="2"/>
      <c r="S74" s="2"/>
      <c r="T74" s="2"/>
      <c r="U74" s="2"/>
      <c r="V74" s="2"/>
      <c r="W74" s="2"/>
    </row>
    <row r="75" spans="1:23" x14ac:dyDescent="0.2">
      <c r="A75" s="293" t="s">
        <v>141</v>
      </c>
      <c r="B75" s="293"/>
      <c r="C75" s="294"/>
      <c r="D75" s="636" t="s">
        <v>315</v>
      </c>
      <c r="E75" s="295"/>
      <c r="F75" s="295" t="s">
        <v>142</v>
      </c>
      <c r="G75" s="2"/>
      <c r="O75" s="2"/>
      <c r="P75" s="2"/>
      <c r="Q75" s="2"/>
      <c r="R75" s="2"/>
      <c r="S75" s="2"/>
      <c r="T75" s="2"/>
      <c r="U75" s="2"/>
      <c r="V75" s="2"/>
      <c r="W75" s="2"/>
    </row>
    <row r="76" spans="1:23" x14ac:dyDescent="0.2">
      <c r="A76" s="296" t="s">
        <v>143</v>
      </c>
      <c r="B76" s="296"/>
      <c r="C76" s="294"/>
      <c r="D76" s="637" t="s">
        <v>163</v>
      </c>
      <c r="E76" s="295" t="s">
        <v>261</v>
      </c>
      <c r="F76" s="297" t="s">
        <v>145</v>
      </c>
      <c r="G76" s="2"/>
      <c r="O76" s="2"/>
      <c r="P76" s="2"/>
      <c r="Q76" s="2"/>
      <c r="R76" s="2"/>
      <c r="S76" s="2"/>
      <c r="T76" s="2"/>
      <c r="U76" s="2"/>
      <c r="V76" s="2"/>
      <c r="W76" s="2"/>
    </row>
    <row r="77" spans="1:23" x14ac:dyDescent="0.2">
      <c r="A77" s="294"/>
      <c r="B77" s="298"/>
      <c r="C77" s="294"/>
      <c r="D77" s="635"/>
      <c r="E77" s="294"/>
      <c r="F77" s="299"/>
      <c r="G77" s="2"/>
      <c r="O77" s="2"/>
      <c r="P77" s="2"/>
      <c r="Q77" s="2"/>
      <c r="R77" s="2"/>
      <c r="S77" s="2"/>
      <c r="T77" s="2"/>
      <c r="U77" s="2"/>
      <c r="V77" s="2"/>
      <c r="W77" s="2"/>
    </row>
    <row r="78" spans="1:23" x14ac:dyDescent="0.2">
      <c r="A78" s="294" t="s">
        <v>146</v>
      </c>
      <c r="B78" s="298"/>
      <c r="C78" s="294"/>
      <c r="D78" s="603">
        <f>+'Sch B COS'!L367</f>
        <v>265501057.20680383</v>
      </c>
      <c r="E78" s="294"/>
      <c r="F78" s="300">
        <f>+'Sch B COS'!L368</f>
        <v>0.50590000000000002</v>
      </c>
      <c r="G78" s="2"/>
      <c r="O78" s="2"/>
      <c r="P78" s="2"/>
      <c r="Q78" s="2"/>
      <c r="R78" s="2"/>
      <c r="S78" s="2"/>
      <c r="T78" s="2"/>
      <c r="U78" s="2"/>
      <c r="V78" s="2"/>
      <c r="W78" s="2"/>
    </row>
    <row r="79" spans="1:23" x14ac:dyDescent="0.2">
      <c r="A79" s="294" t="s">
        <v>147</v>
      </c>
      <c r="B79" s="298"/>
      <c r="C79" s="294"/>
      <c r="D79" s="635">
        <f>+'Sch B COS'!N367</f>
        <v>144768698.8727392</v>
      </c>
      <c r="E79" s="294"/>
      <c r="F79" s="299">
        <f>+'Sch B COS'!N368</f>
        <v>0.27579999999999999</v>
      </c>
      <c r="G79" s="2"/>
      <c r="O79" s="2"/>
      <c r="P79" s="2"/>
      <c r="Q79" s="2"/>
      <c r="R79" s="2"/>
      <c r="S79" s="2"/>
      <c r="T79" s="2"/>
      <c r="U79" s="2"/>
      <c r="V79" s="2"/>
      <c r="W79" s="2"/>
    </row>
    <row r="80" spans="1:23" x14ac:dyDescent="0.2">
      <c r="A80" s="294" t="s">
        <v>148</v>
      </c>
      <c r="B80" s="298"/>
      <c r="C80" s="294"/>
      <c r="D80" s="635">
        <f>+'Sch B COS'!P367</f>
        <v>15287755.428220788</v>
      </c>
      <c r="E80" s="294"/>
      <c r="F80" s="299">
        <f>+'Sch B COS'!P368</f>
        <v>2.9100000000000001E-2</v>
      </c>
      <c r="G80" s="2"/>
      <c r="O80" s="2"/>
      <c r="P80" s="2"/>
      <c r="Q80" s="2"/>
      <c r="R80" s="2"/>
      <c r="S80" s="2"/>
      <c r="T80" s="2"/>
      <c r="U80" s="2"/>
      <c r="V80" s="2"/>
      <c r="W80" s="2"/>
    </row>
    <row r="81" spans="1:23" x14ac:dyDescent="0.2">
      <c r="A81" s="294" t="s">
        <v>150</v>
      </c>
      <c r="B81" s="298"/>
      <c r="C81" s="294"/>
      <c r="D81" s="635">
        <f>+'Sch B COS'!R367</f>
        <v>38157299.14979998</v>
      </c>
      <c r="E81" s="294"/>
      <c r="F81" s="299">
        <f>+'Sch B COS'!R368</f>
        <v>7.2700000000000001E-2</v>
      </c>
      <c r="G81" s="2"/>
      <c r="O81" s="2"/>
      <c r="P81" s="2"/>
      <c r="Q81" s="2"/>
      <c r="R81" s="2"/>
      <c r="S81" s="2"/>
      <c r="T81" s="2"/>
      <c r="U81" s="2"/>
      <c r="V81" s="2"/>
      <c r="W81" s="2"/>
    </row>
    <row r="82" spans="1:23" ht="13.9" customHeight="1" x14ac:dyDescent="0.2">
      <c r="A82" s="294" t="s">
        <v>267</v>
      </c>
      <c r="B82" s="298"/>
      <c r="C82" s="294"/>
      <c r="D82" s="635">
        <f>+'Sch B COS'!T367</f>
        <v>10192865.566234004</v>
      </c>
      <c r="E82" s="294"/>
      <c r="F82" s="299">
        <f>+'Sch B COS'!T368</f>
        <v>1.9400000000000001E-2</v>
      </c>
      <c r="G82" s="2"/>
      <c r="O82" s="2"/>
      <c r="P82" s="2"/>
      <c r="Q82" s="2"/>
      <c r="R82" s="2"/>
      <c r="S82" s="2"/>
      <c r="T82" s="2"/>
      <c r="U82" s="2"/>
      <c r="V82" s="2"/>
      <c r="W82" s="2"/>
    </row>
    <row r="83" spans="1:23" ht="13.35" customHeight="1" x14ac:dyDescent="0.2">
      <c r="A83" s="294" t="s">
        <v>152</v>
      </c>
      <c r="B83" s="298"/>
      <c r="C83" s="294"/>
      <c r="D83" s="635">
        <f>+'Sch B COS'!V367</f>
        <v>17183511.893443335</v>
      </c>
      <c r="E83" s="294"/>
      <c r="F83" s="299">
        <f>+'Sch B COS'!V368</f>
        <v>3.27E-2</v>
      </c>
      <c r="G83" s="2"/>
      <c r="O83" s="2"/>
      <c r="P83" s="2"/>
      <c r="Q83" s="2"/>
      <c r="R83" s="2"/>
      <c r="S83" s="2"/>
      <c r="T83" s="2"/>
      <c r="U83" s="2"/>
      <c r="V83" s="2"/>
      <c r="W83" s="2"/>
    </row>
    <row r="84" spans="1:23" ht="13.35" customHeight="1" x14ac:dyDescent="0.2">
      <c r="A84" s="294" t="s">
        <v>153</v>
      </c>
      <c r="B84" s="298"/>
      <c r="C84" s="294"/>
      <c r="D84" s="635">
        <f>+'Sch B COS'!X367</f>
        <v>33816229.429668672</v>
      </c>
      <c r="E84" s="294"/>
      <c r="F84" s="299">
        <f>+'Sch B COS'!X368</f>
        <v>6.4399999999999999E-2</v>
      </c>
      <c r="G84" s="2"/>
      <c r="O84" s="2"/>
      <c r="P84" s="2"/>
      <c r="Q84" s="2"/>
      <c r="R84" s="2"/>
      <c r="S84" s="2"/>
      <c r="T84" s="2"/>
      <c r="U84" s="2"/>
      <c r="V84" s="2"/>
      <c r="W84" s="2"/>
    </row>
    <row r="85" spans="1:23" ht="13.35" customHeight="1" x14ac:dyDescent="0.2">
      <c r="A85" s="294"/>
      <c r="B85" s="298"/>
      <c r="C85" s="294"/>
      <c r="D85" s="638"/>
      <c r="E85" s="294"/>
      <c r="F85" s="303"/>
      <c r="G85" s="2"/>
      <c r="O85" s="2"/>
      <c r="P85" s="2"/>
      <c r="Q85" s="2"/>
      <c r="R85" s="2"/>
      <c r="S85" s="2"/>
      <c r="T85" s="2"/>
      <c r="U85" s="2"/>
      <c r="V85" s="2"/>
      <c r="W85" s="2"/>
    </row>
    <row r="86" spans="1:23" ht="13.35" customHeight="1" thickBot="1" x14ac:dyDescent="0.25">
      <c r="A86" s="294" t="s">
        <v>154</v>
      </c>
      <c r="B86" s="298"/>
      <c r="C86" s="294"/>
      <c r="D86" s="639">
        <f>SUM(D78:D85)</f>
        <v>524907417.54690981</v>
      </c>
      <c r="E86" s="294"/>
      <c r="F86" s="299">
        <f>SUM(F78:F85)</f>
        <v>1</v>
      </c>
      <c r="G86" s="2"/>
      <c r="O86" s="2"/>
      <c r="P86" s="2"/>
      <c r="Q86" s="2"/>
      <c r="R86" s="2"/>
      <c r="S86" s="2"/>
      <c r="T86" s="2"/>
      <c r="U86" s="2"/>
      <c r="V86" s="2"/>
      <c r="W86" s="2"/>
    </row>
    <row r="87" spans="1:23" ht="13.35" customHeight="1" thickTop="1" x14ac:dyDescent="0.2">
      <c r="A87" s="294"/>
      <c r="B87" s="294"/>
      <c r="C87" s="294"/>
      <c r="D87" s="641"/>
      <c r="E87" s="306"/>
      <c r="F87" s="307"/>
      <c r="G87" s="2"/>
      <c r="O87" s="2"/>
      <c r="P87" s="2"/>
      <c r="Q87" s="2"/>
      <c r="R87" s="2"/>
      <c r="S87" s="2"/>
      <c r="T87" s="2"/>
      <c r="U87" s="2"/>
      <c r="V87" s="2"/>
      <c r="W87" s="2"/>
    </row>
    <row r="88" spans="1:23" x14ac:dyDescent="0.2">
      <c r="A88" s="15" t="s">
        <v>8</v>
      </c>
      <c r="B88" s="1"/>
      <c r="C88" s="15"/>
      <c r="D88" s="633"/>
      <c r="E88" s="1"/>
      <c r="F88" s="1"/>
      <c r="G88" s="2"/>
      <c r="O88" s="2"/>
      <c r="P88" s="2"/>
      <c r="Q88" s="2"/>
      <c r="R88" s="2"/>
      <c r="S88" s="2"/>
      <c r="T88" s="2"/>
      <c r="U88" s="2"/>
      <c r="V88" s="2"/>
      <c r="W88" s="2"/>
    </row>
    <row r="89" spans="1:23" x14ac:dyDescent="0.2">
      <c r="A89" s="1"/>
      <c r="B89" s="1"/>
      <c r="C89" s="1"/>
      <c r="D89" s="633"/>
      <c r="E89" s="1"/>
      <c r="F89" s="1"/>
      <c r="G89" s="2"/>
      <c r="O89" s="2"/>
      <c r="P89" s="2"/>
      <c r="Q89" s="2"/>
      <c r="R89" s="2"/>
      <c r="S89" s="2"/>
      <c r="T89" s="2"/>
      <c r="U89" s="2"/>
      <c r="V89" s="2"/>
      <c r="W89" s="2"/>
    </row>
    <row r="90" spans="1:23" x14ac:dyDescent="0.2">
      <c r="A90" s="293" t="s">
        <v>170</v>
      </c>
      <c r="B90" s="293"/>
      <c r="C90" s="293"/>
      <c r="D90" s="634"/>
      <c r="E90" s="293"/>
      <c r="F90" s="293"/>
      <c r="G90" s="2"/>
      <c r="O90" s="2"/>
      <c r="P90" s="2"/>
      <c r="Q90" s="2"/>
      <c r="R90" s="2"/>
      <c r="S90" s="2"/>
      <c r="T90" s="2"/>
      <c r="U90" s="2"/>
      <c r="V90" s="2"/>
      <c r="W90" s="2"/>
    </row>
    <row r="91" spans="1:23" x14ac:dyDescent="0.2">
      <c r="A91" s="294"/>
      <c r="B91" s="294"/>
      <c r="C91" s="294"/>
      <c r="D91" s="635"/>
      <c r="E91" s="294"/>
      <c r="F91" s="294"/>
      <c r="G91" s="2"/>
      <c r="H91" s="2"/>
      <c r="I91" s="2"/>
      <c r="J91" s="2"/>
      <c r="K91" s="2"/>
      <c r="L91" s="2"/>
      <c r="M91" s="2"/>
      <c r="N91" s="2"/>
      <c r="O91" s="2"/>
      <c r="P91" s="2"/>
      <c r="Q91" s="2"/>
      <c r="R91" s="2"/>
      <c r="S91" s="7"/>
      <c r="T91" s="2"/>
      <c r="U91" s="51"/>
      <c r="V91" s="2"/>
      <c r="W91" s="2"/>
    </row>
    <row r="92" spans="1:23" x14ac:dyDescent="0.2">
      <c r="A92" s="294" t="s">
        <v>103</v>
      </c>
      <c r="B92" s="294"/>
      <c r="C92" s="294"/>
      <c r="D92" s="635"/>
      <c r="E92" s="294"/>
      <c r="F92" s="294"/>
      <c r="G92" s="2"/>
      <c r="H92" s="2"/>
      <c r="I92" s="2"/>
      <c r="J92" s="2"/>
      <c r="K92" s="2"/>
      <c r="L92" s="2"/>
      <c r="M92" s="2"/>
      <c r="N92" s="2"/>
      <c r="O92" s="2"/>
      <c r="P92" s="2"/>
      <c r="Q92" s="2"/>
      <c r="R92" s="2"/>
      <c r="S92" s="7"/>
      <c r="T92" s="2"/>
      <c r="U92" s="51"/>
      <c r="V92" s="2"/>
      <c r="W92" s="2"/>
    </row>
    <row r="93" spans="1:23" x14ac:dyDescent="0.2">
      <c r="A93" s="294"/>
      <c r="B93" s="294"/>
      <c r="C93" s="294"/>
      <c r="D93" s="635"/>
      <c r="E93" s="294"/>
      <c r="F93" s="294"/>
      <c r="G93" s="2"/>
      <c r="H93" s="2"/>
      <c r="I93" s="2"/>
      <c r="J93" s="2"/>
      <c r="K93" s="2"/>
      <c r="L93" s="2"/>
      <c r="M93" s="2"/>
      <c r="N93" s="2"/>
      <c r="O93" s="2"/>
      <c r="P93" s="2"/>
      <c r="Q93" s="2"/>
      <c r="R93" s="2"/>
      <c r="S93" s="7"/>
      <c r="T93" s="2"/>
      <c r="U93" s="51"/>
      <c r="V93" s="2"/>
      <c r="W93" s="2"/>
    </row>
    <row r="94" spans="1:23" ht="28.15" customHeight="1" x14ac:dyDescent="0.2">
      <c r="A94" s="708" t="s">
        <v>316</v>
      </c>
      <c r="B94" s="708"/>
      <c r="C94" s="708"/>
      <c r="D94" s="708"/>
      <c r="E94" s="708"/>
      <c r="F94" s="708"/>
      <c r="G94" s="2"/>
      <c r="H94" s="2"/>
      <c r="I94" s="2"/>
      <c r="J94" s="2"/>
      <c r="K94" s="2"/>
      <c r="L94" s="2"/>
      <c r="M94" s="2"/>
      <c r="N94" s="2"/>
      <c r="O94" s="2"/>
      <c r="P94" s="2"/>
      <c r="Q94" s="2"/>
      <c r="R94" s="2"/>
      <c r="S94" s="7"/>
      <c r="T94" s="2"/>
      <c r="U94" s="51"/>
      <c r="V94" s="2"/>
      <c r="W94" s="2"/>
    </row>
    <row r="95" spans="1:23" x14ac:dyDescent="0.2">
      <c r="A95" s="294"/>
      <c r="B95" s="294"/>
      <c r="C95" s="294"/>
      <c r="D95" s="635"/>
      <c r="E95" s="294"/>
      <c r="F95" s="294"/>
      <c r="G95" s="2"/>
      <c r="H95" s="2"/>
      <c r="I95" s="2"/>
      <c r="J95" s="2"/>
      <c r="K95" s="2"/>
      <c r="L95" s="2"/>
      <c r="M95" s="2"/>
      <c r="N95" s="2"/>
      <c r="O95" s="2"/>
    </row>
    <row r="96" spans="1:23" x14ac:dyDescent="0.2">
      <c r="A96" s="294"/>
      <c r="B96" s="294"/>
      <c r="C96" s="294"/>
      <c r="D96" s="636" t="s">
        <v>313</v>
      </c>
      <c r="E96" s="295"/>
      <c r="F96" s="295"/>
      <c r="G96" s="2"/>
      <c r="H96" s="2"/>
      <c r="I96" s="2"/>
      <c r="J96" s="2"/>
      <c r="K96" s="2"/>
      <c r="L96" s="2"/>
      <c r="M96" s="2"/>
      <c r="N96" s="2"/>
      <c r="O96" s="2"/>
    </row>
    <row r="97" spans="1:15" x14ac:dyDescent="0.2">
      <c r="A97" s="293" t="s">
        <v>138</v>
      </c>
      <c r="B97" s="293"/>
      <c r="C97" s="294"/>
      <c r="D97" s="636" t="s">
        <v>317</v>
      </c>
      <c r="E97" s="295"/>
      <c r="F97" s="295" t="s">
        <v>140</v>
      </c>
      <c r="G97" s="2"/>
      <c r="H97" s="2"/>
      <c r="I97" s="2"/>
      <c r="J97" s="2"/>
      <c r="K97" s="2"/>
      <c r="L97" s="2"/>
      <c r="M97" s="2"/>
      <c r="N97" s="2"/>
      <c r="O97" s="2"/>
    </row>
    <row r="98" spans="1:15" x14ac:dyDescent="0.2">
      <c r="A98" s="293" t="s">
        <v>141</v>
      </c>
      <c r="B98" s="293"/>
      <c r="C98" s="294"/>
      <c r="D98" s="636" t="s">
        <v>318</v>
      </c>
      <c r="E98" s="295"/>
      <c r="F98" s="295" t="s">
        <v>142</v>
      </c>
      <c r="G98" s="2"/>
      <c r="H98" s="2"/>
      <c r="I98" s="2"/>
      <c r="J98" s="2"/>
      <c r="K98" s="2"/>
      <c r="L98" s="2"/>
      <c r="M98" s="2"/>
      <c r="N98" s="2"/>
      <c r="O98" s="2"/>
    </row>
    <row r="99" spans="1:15" x14ac:dyDescent="0.2">
      <c r="A99" s="296" t="s">
        <v>143</v>
      </c>
      <c r="B99" s="296"/>
      <c r="C99" s="294"/>
      <c r="D99" s="637" t="s">
        <v>163</v>
      </c>
      <c r="E99" s="295" t="s">
        <v>261</v>
      </c>
      <c r="F99" s="297" t="s">
        <v>145</v>
      </c>
      <c r="G99" s="2"/>
      <c r="H99" s="2"/>
      <c r="I99" s="2"/>
      <c r="J99" s="2"/>
      <c r="K99" s="2"/>
      <c r="L99" s="2"/>
      <c r="M99" s="2"/>
      <c r="N99" s="2"/>
      <c r="O99" s="2"/>
    </row>
    <row r="100" spans="1:15" x14ac:dyDescent="0.2">
      <c r="A100" s="294"/>
      <c r="B100" s="298"/>
      <c r="C100" s="294"/>
      <c r="D100" s="635"/>
      <c r="E100" s="294"/>
      <c r="F100" s="299"/>
      <c r="G100" s="2"/>
      <c r="H100" s="2"/>
      <c r="I100" s="2"/>
      <c r="J100" s="2"/>
      <c r="K100" s="2"/>
      <c r="L100" s="2"/>
      <c r="M100" s="2"/>
      <c r="N100" s="2"/>
      <c r="O100" s="2"/>
    </row>
    <row r="101" spans="1:15" x14ac:dyDescent="0.2">
      <c r="A101" s="294" t="s">
        <v>146</v>
      </c>
      <c r="B101" s="298"/>
      <c r="C101" s="294"/>
      <c r="D101" s="603">
        <f>+'Sch B COS'!L369</f>
        <v>223628668.9498148</v>
      </c>
      <c r="E101" s="294"/>
      <c r="F101" s="300">
        <f>+'Sch B COS'!L370</f>
        <v>0.50700000000000001</v>
      </c>
      <c r="G101" s="2"/>
      <c r="H101" s="2"/>
      <c r="I101" s="2"/>
      <c r="J101" s="2"/>
      <c r="K101" s="2"/>
      <c r="L101" s="2"/>
      <c r="M101" s="2"/>
      <c r="N101" s="2"/>
      <c r="O101" s="2"/>
    </row>
    <row r="102" spans="1:15" x14ac:dyDescent="0.2">
      <c r="A102" s="294" t="s">
        <v>147</v>
      </c>
      <c r="B102" s="298"/>
      <c r="C102" s="294"/>
      <c r="D102" s="635">
        <f>+'Sch B COS'!N369</f>
        <v>121452569.19817136</v>
      </c>
      <c r="E102" s="294"/>
      <c r="F102" s="299">
        <f>+'Sch B COS'!N370</f>
        <v>0.27529999999999999</v>
      </c>
      <c r="G102" s="2"/>
      <c r="H102" s="2"/>
      <c r="I102" s="2"/>
      <c r="J102" s="2"/>
      <c r="K102" s="2"/>
      <c r="L102" s="2"/>
      <c r="M102" s="2"/>
      <c r="N102" s="2"/>
      <c r="O102" s="2"/>
    </row>
    <row r="103" spans="1:15" x14ac:dyDescent="0.2">
      <c r="A103" s="294" t="s">
        <v>148</v>
      </c>
      <c r="B103" s="298"/>
      <c r="C103" s="294"/>
      <c r="D103" s="635">
        <f>+'Sch B COS'!P369</f>
        <v>12848840.247310547</v>
      </c>
      <c r="E103" s="294"/>
      <c r="F103" s="299">
        <f>+'Sch B COS'!P370</f>
        <v>2.9100000000000001E-2</v>
      </c>
      <c r="G103" s="2"/>
      <c r="H103" s="2"/>
      <c r="I103" s="2"/>
      <c r="J103" s="2"/>
      <c r="K103" s="2"/>
      <c r="L103" s="2"/>
      <c r="M103" s="2"/>
      <c r="N103" s="2"/>
      <c r="O103" s="2"/>
    </row>
    <row r="104" spans="1:15" x14ac:dyDescent="0.2">
      <c r="A104" s="294" t="s">
        <v>150</v>
      </c>
      <c r="B104" s="298"/>
      <c r="C104" s="294"/>
      <c r="D104" s="635">
        <f>+'Sch B COS'!R369</f>
        <v>32007419.166745879</v>
      </c>
      <c r="E104" s="294"/>
      <c r="F104" s="299">
        <f>+'Sch B COS'!R370</f>
        <v>7.2599999999999998E-2</v>
      </c>
      <c r="G104" s="2"/>
      <c r="H104" s="2"/>
      <c r="I104" s="2"/>
      <c r="J104" s="2"/>
      <c r="K104" s="2"/>
      <c r="L104" s="2"/>
      <c r="M104" s="2"/>
      <c r="N104" s="2"/>
      <c r="O104" s="2"/>
    </row>
    <row r="105" spans="1:15" x14ac:dyDescent="0.2">
      <c r="A105" s="294" t="s">
        <v>267</v>
      </c>
      <c r="B105" s="298"/>
      <c r="C105" s="294"/>
      <c r="D105" s="635">
        <f>+'Sch B COS'!T369</f>
        <v>8568138.3226938415</v>
      </c>
      <c r="E105" s="294"/>
      <c r="F105" s="299">
        <f>+'Sch B COS'!T370</f>
        <v>1.9400000000000001E-2</v>
      </c>
      <c r="G105" s="2"/>
      <c r="H105" s="2"/>
      <c r="I105" s="2"/>
      <c r="J105" s="2"/>
      <c r="K105" s="2"/>
      <c r="L105" s="2"/>
      <c r="M105" s="2"/>
      <c r="N105" s="2"/>
      <c r="O105" s="2"/>
    </row>
    <row r="106" spans="1:15" x14ac:dyDescent="0.2">
      <c r="A106" s="294" t="s">
        <v>152</v>
      </c>
      <c r="B106" s="298"/>
      <c r="C106" s="294"/>
      <c r="D106" s="635">
        <f>+'Sch B COS'!V369</f>
        <v>14393219.06888544</v>
      </c>
      <c r="E106" s="294"/>
      <c r="F106" s="299">
        <f>+'Sch B COS'!V370</f>
        <v>3.2599999999999997E-2</v>
      </c>
      <c r="G106" s="2"/>
      <c r="H106" s="2"/>
      <c r="I106" s="2"/>
      <c r="J106" s="2"/>
      <c r="K106" s="2"/>
      <c r="L106" s="2"/>
      <c r="M106" s="2"/>
      <c r="N106" s="2"/>
      <c r="O106" s="2"/>
    </row>
    <row r="107" spans="1:15" x14ac:dyDescent="0.2">
      <c r="A107" s="294" t="s">
        <v>153</v>
      </c>
      <c r="B107" s="298"/>
      <c r="C107" s="294"/>
      <c r="D107" s="635">
        <f>+'Sch B COS'!X369</f>
        <v>28212717.16338278</v>
      </c>
      <c r="E107" s="294"/>
      <c r="F107" s="299">
        <f>+'Sch B COS'!X370</f>
        <v>6.4000000000000001E-2</v>
      </c>
      <c r="G107" s="2"/>
      <c r="H107" s="2"/>
      <c r="I107" s="2"/>
      <c r="J107" s="2"/>
      <c r="K107" s="2"/>
      <c r="L107" s="2"/>
      <c r="M107" s="2"/>
      <c r="N107" s="2"/>
      <c r="O107" s="2"/>
    </row>
    <row r="108" spans="1:15" ht="12.75" customHeight="1" x14ac:dyDescent="0.2">
      <c r="A108" s="294"/>
      <c r="B108" s="298"/>
      <c r="C108" s="294"/>
      <c r="D108" s="638"/>
      <c r="E108" s="294"/>
      <c r="F108" s="303"/>
      <c r="G108" s="2"/>
      <c r="H108" s="2"/>
      <c r="I108" s="2"/>
      <c r="J108" s="2"/>
      <c r="K108" s="2"/>
      <c r="L108" s="2"/>
      <c r="M108" s="2"/>
      <c r="N108" s="2"/>
      <c r="O108" s="2"/>
    </row>
    <row r="109" spans="1:15" ht="13.35" customHeight="1" thickBot="1" x14ac:dyDescent="0.25">
      <c r="A109" s="294" t="s">
        <v>154</v>
      </c>
      <c r="B109" s="298"/>
      <c r="C109" s="294"/>
      <c r="D109" s="639">
        <f>SUM(D101:D108)</f>
        <v>441111572.11700463</v>
      </c>
      <c r="E109" s="294"/>
      <c r="F109" s="299">
        <f>SUM(F101:F108)</f>
        <v>1</v>
      </c>
      <c r="G109" s="2"/>
      <c r="H109" s="2"/>
      <c r="I109" s="2"/>
      <c r="J109" s="2"/>
      <c r="K109" s="2"/>
      <c r="L109" s="2"/>
      <c r="M109" s="2"/>
      <c r="N109" s="2"/>
      <c r="O109" s="2"/>
    </row>
    <row r="110" spans="1:15" ht="13.35" customHeight="1" thickTop="1" x14ac:dyDescent="0.2">
      <c r="A110" s="294"/>
      <c r="B110" s="294"/>
      <c r="C110" s="294"/>
      <c r="D110" s="641"/>
      <c r="E110" s="306"/>
      <c r="F110" s="307"/>
      <c r="G110" s="2"/>
      <c r="H110" s="2"/>
      <c r="I110" s="2"/>
      <c r="J110" s="2"/>
      <c r="K110" s="2"/>
      <c r="L110" s="2"/>
      <c r="M110" s="2"/>
      <c r="N110" s="2"/>
      <c r="O110" s="2"/>
    </row>
    <row r="111" spans="1:15" ht="13.35" customHeight="1" x14ac:dyDescent="0.2">
      <c r="A111" s="294"/>
      <c r="B111" s="294"/>
      <c r="C111" s="294"/>
      <c r="D111" s="635"/>
      <c r="E111" s="294"/>
      <c r="F111" s="294"/>
      <c r="G111" s="2"/>
      <c r="H111" s="2"/>
      <c r="I111" s="2"/>
      <c r="J111" s="2"/>
      <c r="K111" s="2"/>
      <c r="L111" s="2"/>
      <c r="M111" s="2"/>
      <c r="N111" s="2"/>
      <c r="O111" s="2"/>
    </row>
    <row r="112" spans="1:15" ht="13.35" customHeight="1" x14ac:dyDescent="0.2">
      <c r="A112" s="294" t="s">
        <v>624</v>
      </c>
      <c r="B112" s="294"/>
      <c r="C112" s="294"/>
      <c r="D112" s="635"/>
      <c r="E112" s="294"/>
      <c r="F112" s="294"/>
      <c r="G112" s="2"/>
      <c r="H112" s="2"/>
      <c r="I112" s="2"/>
      <c r="J112" s="2"/>
      <c r="K112" s="2"/>
      <c r="L112" s="2"/>
      <c r="M112" s="2"/>
      <c r="N112" s="2"/>
      <c r="O112" s="2"/>
    </row>
    <row r="113" spans="1:15" ht="13.35" customHeight="1" x14ac:dyDescent="0.2">
      <c r="A113" s="294" t="s">
        <v>625</v>
      </c>
      <c r="B113" s="294"/>
      <c r="C113" s="294"/>
      <c r="D113" s="635"/>
      <c r="E113" s="294"/>
      <c r="F113" s="294"/>
      <c r="G113" s="2"/>
      <c r="H113" s="2"/>
      <c r="I113" s="2"/>
      <c r="J113" s="2"/>
      <c r="K113" s="2"/>
      <c r="L113" s="2"/>
      <c r="M113" s="2"/>
      <c r="N113" s="2"/>
      <c r="O113" s="2"/>
    </row>
    <row r="114" spans="1:15" ht="13.35" customHeight="1" x14ac:dyDescent="0.2">
      <c r="A114" s="294"/>
      <c r="B114" s="294"/>
      <c r="C114" s="294"/>
      <c r="D114" s="635"/>
      <c r="E114" s="294"/>
      <c r="F114" s="294"/>
      <c r="G114" s="2"/>
      <c r="H114" s="2"/>
      <c r="I114" s="2"/>
      <c r="J114" s="2"/>
      <c r="K114" s="2"/>
      <c r="L114" s="2"/>
      <c r="M114" s="2"/>
      <c r="N114" s="2"/>
      <c r="O114" s="2"/>
    </row>
    <row r="115" spans="1:15" ht="29.25" customHeight="1" x14ac:dyDescent="0.2">
      <c r="A115" s="708" t="s">
        <v>319</v>
      </c>
      <c r="B115" s="708"/>
      <c r="C115" s="708"/>
      <c r="D115" s="708"/>
      <c r="E115" s="708"/>
      <c r="F115" s="708"/>
      <c r="G115" s="2"/>
      <c r="H115" s="2"/>
      <c r="I115" s="2"/>
      <c r="J115" s="2"/>
      <c r="K115" s="2"/>
      <c r="L115" s="2"/>
      <c r="M115" s="2"/>
      <c r="N115" s="2"/>
      <c r="O115" s="2"/>
    </row>
    <row r="116" spans="1:15" x14ac:dyDescent="0.2">
      <c r="A116" s="294"/>
      <c r="B116" s="294"/>
      <c r="C116" s="294"/>
      <c r="D116" s="635"/>
      <c r="E116" s="294"/>
      <c r="F116" s="294"/>
      <c r="G116" s="2"/>
      <c r="H116" s="2"/>
      <c r="I116" s="2"/>
      <c r="J116" s="2"/>
      <c r="K116" s="2"/>
      <c r="L116" s="2"/>
      <c r="M116" s="2"/>
      <c r="N116" s="2"/>
      <c r="O116" s="2"/>
    </row>
    <row r="117" spans="1:15" x14ac:dyDescent="0.2">
      <c r="A117" s="293" t="s">
        <v>138</v>
      </c>
      <c r="B117" s="293"/>
      <c r="C117" s="294"/>
      <c r="D117" s="636" t="s">
        <v>320</v>
      </c>
      <c r="E117" s="295"/>
      <c r="F117" s="295" t="s">
        <v>140</v>
      </c>
      <c r="G117" s="2"/>
      <c r="H117" s="2"/>
      <c r="I117" s="2"/>
      <c r="J117" s="2"/>
      <c r="K117" s="2"/>
      <c r="L117" s="2"/>
      <c r="M117" s="2"/>
      <c r="N117" s="2"/>
      <c r="O117" s="2"/>
    </row>
    <row r="118" spans="1:15" x14ac:dyDescent="0.2">
      <c r="A118" s="293" t="s">
        <v>141</v>
      </c>
      <c r="B118" s="293"/>
      <c r="C118" s="294"/>
      <c r="D118" s="636" t="s">
        <v>321</v>
      </c>
      <c r="E118" s="295"/>
      <c r="F118" s="295" t="s">
        <v>142</v>
      </c>
      <c r="G118" s="2"/>
      <c r="H118" s="2"/>
      <c r="I118" s="2"/>
      <c r="J118" s="2"/>
      <c r="K118" s="2"/>
      <c r="L118" s="2"/>
      <c r="M118" s="2"/>
      <c r="N118" s="2"/>
      <c r="O118" s="2"/>
    </row>
    <row r="119" spans="1:15" x14ac:dyDescent="0.2">
      <c r="A119" s="296" t="s">
        <v>143</v>
      </c>
      <c r="B119" s="296"/>
      <c r="C119" s="294"/>
      <c r="D119" s="637" t="s">
        <v>163</v>
      </c>
      <c r="E119" s="295" t="s">
        <v>261</v>
      </c>
      <c r="F119" s="297" t="s">
        <v>145</v>
      </c>
      <c r="G119" s="2"/>
      <c r="H119" s="2"/>
      <c r="I119" s="2"/>
      <c r="J119" s="2"/>
      <c r="K119" s="2"/>
      <c r="L119" s="2"/>
      <c r="M119" s="2"/>
      <c r="N119" s="2"/>
      <c r="O119" s="2"/>
    </row>
    <row r="120" spans="1:15" x14ac:dyDescent="0.2">
      <c r="A120" s="294"/>
      <c r="B120" s="298"/>
      <c r="C120" s="294"/>
      <c r="D120" s="635"/>
      <c r="E120" s="294"/>
      <c r="F120" s="299"/>
      <c r="G120" s="2"/>
      <c r="H120" s="2"/>
      <c r="I120" s="2"/>
      <c r="J120" s="2"/>
      <c r="K120" s="2"/>
      <c r="L120" s="2"/>
      <c r="M120" s="2"/>
      <c r="N120" s="2"/>
      <c r="O120" s="2"/>
    </row>
    <row r="121" spans="1:15" x14ac:dyDescent="0.2">
      <c r="A121" s="294" t="s">
        <v>146</v>
      </c>
      <c r="B121" s="298"/>
      <c r="C121" s="294"/>
      <c r="D121" s="603">
        <f>+'Sch B COS'!L371</f>
        <v>60116193.435764767</v>
      </c>
      <c r="E121" s="294"/>
      <c r="F121" s="300">
        <f>+'Sch B COS'!L372</f>
        <v>0.55720000000000003</v>
      </c>
      <c r="G121" s="2"/>
      <c r="H121" s="2"/>
      <c r="I121" s="2"/>
      <c r="J121" s="2"/>
      <c r="K121" s="2"/>
      <c r="L121" s="2"/>
      <c r="M121" s="2"/>
      <c r="N121" s="2"/>
      <c r="O121" s="2"/>
    </row>
    <row r="122" spans="1:15" x14ac:dyDescent="0.2">
      <c r="A122" s="294" t="s">
        <v>147</v>
      </c>
      <c r="B122" s="298"/>
      <c r="C122" s="294"/>
      <c r="D122" s="635">
        <f>+'Sch B COS'!N371</f>
        <v>27497820.362177007</v>
      </c>
      <c r="E122" s="294"/>
      <c r="F122" s="299">
        <f>+'Sch B COS'!N372</f>
        <v>0.25490000000000002</v>
      </c>
      <c r="G122" s="2"/>
      <c r="H122" s="2"/>
      <c r="I122" s="2"/>
      <c r="J122" s="2"/>
      <c r="K122" s="2"/>
      <c r="L122" s="2"/>
      <c r="M122" s="2"/>
      <c r="N122" s="2"/>
      <c r="O122" s="2"/>
    </row>
    <row r="123" spans="1:15" x14ac:dyDescent="0.2">
      <c r="A123" s="294" t="s">
        <v>148</v>
      </c>
      <c r="B123" s="298"/>
      <c r="C123" s="294"/>
      <c r="D123" s="635">
        <f>+'Sch B COS'!P371</f>
        <v>3106922.0056589032</v>
      </c>
      <c r="E123" s="294"/>
      <c r="F123" s="299">
        <f>+'Sch B COS'!P372</f>
        <v>2.8799999999999999E-2</v>
      </c>
      <c r="G123" s="2"/>
      <c r="H123" s="2"/>
      <c r="I123" s="2"/>
      <c r="J123" s="2"/>
      <c r="K123" s="2"/>
      <c r="L123" s="2"/>
      <c r="M123" s="2"/>
      <c r="N123" s="2"/>
      <c r="O123" s="2"/>
    </row>
    <row r="124" spans="1:15" x14ac:dyDescent="0.2">
      <c r="A124" s="294" t="s">
        <v>150</v>
      </c>
      <c r="B124" s="298"/>
      <c r="C124" s="294"/>
      <c r="D124" s="635">
        <f>+'Sch B COS'!R371</f>
        <v>7195961.2217231393</v>
      </c>
      <c r="E124" s="294"/>
      <c r="F124" s="299">
        <f>+'Sch B COS'!R372</f>
        <v>6.6699999999999995E-2</v>
      </c>
      <c r="G124" s="2"/>
      <c r="H124" s="2"/>
      <c r="I124" s="2"/>
      <c r="J124" s="2"/>
      <c r="K124" s="2"/>
      <c r="L124" s="2"/>
      <c r="M124" s="2"/>
      <c r="N124" s="2"/>
      <c r="O124" s="2"/>
    </row>
    <row r="125" spans="1:15" x14ac:dyDescent="0.2">
      <c r="A125" s="294" t="s">
        <v>267</v>
      </c>
      <c r="B125" s="298"/>
      <c r="C125" s="294"/>
      <c r="D125" s="635">
        <f>+'Sch B COS'!T371</f>
        <v>2082818.1442608042</v>
      </c>
      <c r="E125" s="294"/>
      <c r="F125" s="299">
        <f>+'Sch B COS'!T372</f>
        <v>1.9300000000000001E-2</v>
      </c>
      <c r="G125" s="2"/>
      <c r="H125" s="2"/>
      <c r="I125" s="2"/>
      <c r="J125" s="2"/>
      <c r="K125" s="2"/>
      <c r="L125" s="2"/>
      <c r="M125" s="2"/>
      <c r="N125" s="2"/>
      <c r="O125" s="2"/>
    </row>
    <row r="126" spans="1:15" x14ac:dyDescent="0.2">
      <c r="A126" s="294" t="s">
        <v>152</v>
      </c>
      <c r="B126" s="298"/>
      <c r="C126" s="294"/>
      <c r="D126" s="635">
        <f>+'Sch B COS'!V371</f>
        <v>2989376.7220733552</v>
      </c>
      <c r="E126" s="294"/>
      <c r="F126" s="299">
        <f>+'Sch B COS'!V372</f>
        <v>2.7699999999999999E-2</v>
      </c>
      <c r="G126" s="2"/>
      <c r="H126" s="2"/>
      <c r="I126" s="2"/>
      <c r="J126" s="2"/>
      <c r="K126" s="2"/>
      <c r="L126" s="2"/>
      <c r="M126" s="2"/>
      <c r="N126" s="2"/>
      <c r="O126" s="2"/>
    </row>
    <row r="127" spans="1:15" x14ac:dyDescent="0.2">
      <c r="A127" s="294" t="s">
        <v>153</v>
      </c>
      <c r="B127" s="298"/>
      <c r="C127" s="294"/>
      <c r="D127" s="635">
        <f>+'Sch B COS'!X371</f>
        <v>4902615.8081780123</v>
      </c>
      <c r="E127" s="294"/>
      <c r="F127" s="299">
        <f>+'Sch B COS'!X372</f>
        <v>4.5400000000000003E-2</v>
      </c>
      <c r="G127" s="2"/>
      <c r="H127" s="2"/>
      <c r="I127" s="2"/>
      <c r="J127" s="2"/>
      <c r="K127" s="2"/>
      <c r="L127" s="2"/>
      <c r="M127" s="2"/>
      <c r="N127" s="2"/>
      <c r="O127" s="2"/>
    </row>
    <row r="128" spans="1:15" ht="12.75" customHeight="1" x14ac:dyDescent="0.2">
      <c r="A128" s="294"/>
      <c r="B128" s="298"/>
      <c r="C128" s="294"/>
      <c r="D128" s="638"/>
      <c r="E128" s="294"/>
      <c r="F128" s="303"/>
      <c r="G128" s="2"/>
      <c r="H128" s="2"/>
      <c r="I128" s="2"/>
      <c r="J128" s="2"/>
      <c r="K128" s="2"/>
      <c r="L128" s="2"/>
      <c r="M128" s="2"/>
      <c r="N128" s="2"/>
      <c r="O128" s="2"/>
    </row>
    <row r="129" spans="1:21" ht="13.35" customHeight="1" thickBot="1" x14ac:dyDescent="0.25">
      <c r="A129" s="294" t="s">
        <v>154</v>
      </c>
      <c r="B129" s="298"/>
      <c r="C129" s="294"/>
      <c r="D129" s="639">
        <f>SUM(D121:D128)</f>
        <v>107891707.699836</v>
      </c>
      <c r="E129" s="294"/>
      <c r="F129" s="299">
        <f>SUM(F121:F128)</f>
        <v>1</v>
      </c>
      <c r="G129" s="2"/>
      <c r="H129" s="2"/>
      <c r="I129" s="2"/>
      <c r="J129" s="2"/>
      <c r="K129" s="2"/>
      <c r="L129" s="2"/>
      <c r="M129" s="2"/>
      <c r="N129" s="2"/>
      <c r="O129" s="2"/>
      <c r="U129" s="12"/>
    </row>
    <row r="130" spans="1:21" ht="13.35" customHeight="1" thickTop="1" x14ac:dyDescent="0.2">
      <c r="A130" s="294"/>
      <c r="B130" s="294"/>
      <c r="C130" s="294"/>
      <c r="D130" s="641"/>
      <c r="E130" s="306"/>
      <c r="F130" s="307"/>
      <c r="G130" s="2"/>
      <c r="H130" s="2"/>
      <c r="I130" s="2"/>
      <c r="J130" s="2"/>
      <c r="K130" s="2"/>
      <c r="L130" s="2"/>
      <c r="M130" s="2"/>
      <c r="N130" s="2"/>
      <c r="O130" s="2"/>
    </row>
    <row r="131" spans="1:21" ht="13.35" customHeight="1" x14ac:dyDescent="0.2">
      <c r="A131" s="2"/>
      <c r="B131" s="2"/>
      <c r="C131" s="2"/>
      <c r="D131" s="119"/>
      <c r="E131" s="2"/>
      <c r="F131" s="2"/>
      <c r="G131" s="2"/>
      <c r="H131" s="2"/>
      <c r="I131" s="2"/>
      <c r="J131" s="2"/>
      <c r="K131" s="2"/>
      <c r="L131" s="2"/>
      <c r="M131" s="2"/>
      <c r="N131" s="2"/>
      <c r="O131" s="2"/>
    </row>
    <row r="132" spans="1:21" ht="13.35" customHeight="1" x14ac:dyDescent="0.2">
      <c r="A132" s="15" t="s">
        <v>8</v>
      </c>
      <c r="B132" s="1"/>
      <c r="C132" s="15"/>
      <c r="D132" s="633"/>
      <c r="E132" s="1"/>
      <c r="F132" s="1"/>
      <c r="G132" s="2"/>
      <c r="H132" s="2"/>
      <c r="I132" s="2"/>
      <c r="J132" s="2"/>
      <c r="K132" s="2"/>
      <c r="L132" s="2"/>
      <c r="M132" s="2"/>
      <c r="N132" s="2"/>
      <c r="O132" s="2"/>
    </row>
    <row r="133" spans="1:21" ht="13.35" customHeight="1" x14ac:dyDescent="0.2">
      <c r="A133" s="1"/>
      <c r="B133" s="1"/>
      <c r="C133" s="1"/>
      <c r="D133" s="633"/>
      <c r="E133" s="1"/>
      <c r="F133" s="1"/>
      <c r="G133" s="2"/>
      <c r="H133" s="2"/>
      <c r="I133" s="2"/>
      <c r="J133" s="2"/>
      <c r="K133" s="2"/>
      <c r="L133" s="2"/>
      <c r="M133" s="2"/>
      <c r="N133" s="2"/>
      <c r="O133" s="2"/>
    </row>
    <row r="134" spans="1:21" ht="13.35" customHeight="1" x14ac:dyDescent="0.2">
      <c r="A134" s="293" t="s">
        <v>170</v>
      </c>
      <c r="B134" s="293"/>
      <c r="C134" s="293"/>
      <c r="D134" s="634"/>
      <c r="E134" s="293"/>
      <c r="F134" s="293"/>
      <c r="G134" s="2"/>
      <c r="H134" s="2"/>
      <c r="I134" s="2"/>
      <c r="J134" s="2"/>
      <c r="K134" s="2"/>
      <c r="L134" s="2"/>
      <c r="M134" s="2"/>
      <c r="N134" s="2"/>
      <c r="O134" s="2"/>
    </row>
    <row r="135" spans="1:21" x14ac:dyDescent="0.2">
      <c r="A135" s="294"/>
      <c r="B135" s="294"/>
      <c r="C135" s="294"/>
      <c r="D135" s="635"/>
      <c r="E135" s="294"/>
      <c r="F135" s="294"/>
      <c r="G135" s="2"/>
      <c r="H135" s="2"/>
      <c r="I135" s="2"/>
      <c r="J135" s="2"/>
      <c r="K135" s="2"/>
      <c r="L135" s="2"/>
      <c r="M135" s="2"/>
      <c r="N135" s="2"/>
      <c r="O135" s="2"/>
    </row>
    <row r="136" spans="1:21" ht="15" customHeight="1" x14ac:dyDescent="0.2">
      <c r="A136" s="308" t="s">
        <v>58</v>
      </c>
      <c r="B136" s="308"/>
      <c r="C136" s="308"/>
      <c r="D136" s="635"/>
      <c r="E136" s="308"/>
      <c r="F136" s="308"/>
      <c r="G136" s="40"/>
      <c r="H136" s="2"/>
      <c r="I136" s="2"/>
      <c r="J136" s="2"/>
      <c r="K136" s="2"/>
      <c r="L136" s="2"/>
      <c r="M136" s="2"/>
      <c r="N136" s="2"/>
      <c r="O136" s="2"/>
    </row>
    <row r="137" spans="1:21" ht="11.45" customHeight="1" x14ac:dyDescent="0.2">
      <c r="A137" s="308"/>
      <c r="B137" s="308"/>
      <c r="C137" s="308"/>
      <c r="D137" s="635"/>
      <c r="E137" s="308"/>
      <c r="F137" s="308"/>
      <c r="G137" s="40"/>
      <c r="H137" s="2"/>
      <c r="I137" s="2"/>
      <c r="J137" s="2"/>
      <c r="K137" s="2"/>
      <c r="L137" s="2"/>
      <c r="M137" s="2"/>
      <c r="N137" s="2"/>
      <c r="O137" s="2"/>
    </row>
    <row r="138" spans="1:21" ht="15.75" customHeight="1" x14ac:dyDescent="0.2">
      <c r="A138" s="723" t="s">
        <v>632</v>
      </c>
      <c r="B138" s="723"/>
      <c r="C138" s="723"/>
      <c r="D138" s="723"/>
      <c r="E138" s="723"/>
      <c r="F138" s="723"/>
      <c r="G138" s="171"/>
      <c r="H138" s="2"/>
      <c r="I138" s="2"/>
      <c r="J138" s="2"/>
      <c r="K138" s="2"/>
      <c r="L138" s="2"/>
      <c r="M138" s="2"/>
      <c r="N138" s="2"/>
      <c r="O138" s="2"/>
    </row>
    <row r="139" spans="1:21" x14ac:dyDescent="0.2">
      <c r="A139" s="308"/>
      <c r="B139" s="308"/>
      <c r="C139" s="309"/>
      <c r="D139" s="635"/>
      <c r="E139" s="308"/>
      <c r="F139" s="308"/>
      <c r="G139" s="40"/>
    </row>
    <row r="140" spans="1:21" x14ac:dyDescent="0.2">
      <c r="A140" s="310" t="s">
        <v>138</v>
      </c>
      <c r="B140" s="310"/>
      <c r="C140" s="308"/>
      <c r="D140" s="636" t="s">
        <v>56</v>
      </c>
      <c r="E140" s="311"/>
      <c r="F140" s="311" t="s">
        <v>140</v>
      </c>
      <c r="G140" s="40"/>
    </row>
    <row r="141" spans="1:21" x14ac:dyDescent="0.2">
      <c r="A141" s="310" t="s">
        <v>141</v>
      </c>
      <c r="B141" s="310"/>
      <c r="C141" s="308"/>
      <c r="D141" s="636" t="s">
        <v>57</v>
      </c>
      <c r="E141" s="311"/>
      <c r="F141" s="311" t="s">
        <v>142</v>
      </c>
      <c r="G141" s="40"/>
    </row>
    <row r="142" spans="1:21" x14ac:dyDescent="0.2">
      <c r="A142" s="312" t="s">
        <v>143</v>
      </c>
      <c r="B142" s="312"/>
      <c r="C142" s="308"/>
      <c r="D142" s="637" t="s">
        <v>163</v>
      </c>
      <c r="E142" s="311" t="s">
        <v>261</v>
      </c>
      <c r="F142" s="313" t="s">
        <v>145</v>
      </c>
      <c r="G142" s="40"/>
    </row>
    <row r="143" spans="1:21" x14ac:dyDescent="0.2">
      <c r="A143" s="308"/>
      <c r="B143" s="314"/>
      <c r="C143" s="308"/>
      <c r="D143" s="635"/>
      <c r="E143" s="308"/>
      <c r="F143" s="315"/>
      <c r="G143" s="40"/>
    </row>
    <row r="144" spans="1:21" x14ac:dyDescent="0.2">
      <c r="A144" s="308" t="s">
        <v>146</v>
      </c>
      <c r="B144" s="314"/>
      <c r="C144" s="308"/>
      <c r="D144" s="603">
        <v>2291575.88</v>
      </c>
      <c r="E144" s="308"/>
      <c r="F144" s="316">
        <f>+ROUND(D144/$D$151,4)</f>
        <v>0.88260000000000005</v>
      </c>
      <c r="G144" s="40"/>
      <c r="J144" s="238"/>
    </row>
    <row r="145" spans="1:10" x14ac:dyDescent="0.2">
      <c r="A145" s="308" t="s">
        <v>147</v>
      </c>
      <c r="B145" s="314"/>
      <c r="C145" s="308"/>
      <c r="D145" s="635">
        <v>238240.96099999998</v>
      </c>
      <c r="E145" s="308"/>
      <c r="F145" s="316">
        <f t="shared" ref="F145:F149" si="0">+ROUND(D145/$D$151,4)</f>
        <v>9.1800000000000007E-2</v>
      </c>
      <c r="G145" s="40"/>
      <c r="J145" s="238"/>
    </row>
    <row r="146" spans="1:10" x14ac:dyDescent="0.2">
      <c r="A146" s="308" t="s">
        <v>148</v>
      </c>
      <c r="B146" s="314"/>
      <c r="C146" s="308"/>
      <c r="D146" s="635">
        <v>54</v>
      </c>
      <c r="E146" s="308"/>
      <c r="F146" s="316">
        <f t="shared" si="0"/>
        <v>0</v>
      </c>
      <c r="G146" s="40"/>
      <c r="J146" s="117"/>
    </row>
    <row r="147" spans="1:10" x14ac:dyDescent="0.2">
      <c r="A147" s="308" t="s">
        <v>150</v>
      </c>
      <c r="B147" s="314"/>
      <c r="C147" s="308"/>
      <c r="D147" s="635">
        <v>383</v>
      </c>
      <c r="E147" s="308"/>
      <c r="F147" s="316">
        <f t="shared" si="0"/>
        <v>1E-4</v>
      </c>
      <c r="G147" s="40"/>
      <c r="J147" s="117"/>
    </row>
    <row r="148" spans="1:10" x14ac:dyDescent="0.2">
      <c r="A148" s="308" t="s">
        <v>267</v>
      </c>
      <c r="B148" s="314"/>
      <c r="C148" s="308"/>
      <c r="D148" s="635">
        <v>28</v>
      </c>
      <c r="E148" s="308"/>
      <c r="F148" s="316">
        <f t="shared" si="0"/>
        <v>0</v>
      </c>
      <c r="G148" s="40"/>
      <c r="J148" s="117"/>
    </row>
    <row r="149" spans="1:10" x14ac:dyDescent="0.2">
      <c r="A149" s="308" t="s">
        <v>92</v>
      </c>
      <c r="B149" s="314"/>
      <c r="C149" s="308"/>
      <c r="D149" s="635">
        <v>66117.58</v>
      </c>
      <c r="E149" s="308"/>
      <c r="F149" s="318">
        <f t="shared" si="0"/>
        <v>2.5499999999999998E-2</v>
      </c>
      <c r="G149" s="40"/>
      <c r="J149" s="117"/>
    </row>
    <row r="150" spans="1:10" x14ac:dyDescent="0.2">
      <c r="A150" s="308"/>
      <c r="B150" s="314"/>
      <c r="C150" s="308"/>
      <c r="D150" s="638"/>
      <c r="E150" s="308"/>
      <c r="F150" s="319"/>
      <c r="G150" s="40"/>
      <c r="J150" s="117"/>
    </row>
    <row r="151" spans="1:10" ht="15.75" thickBot="1" x14ac:dyDescent="0.25">
      <c r="A151" s="308" t="s">
        <v>154</v>
      </c>
      <c r="B151" s="314"/>
      <c r="C151" s="308"/>
      <c r="D151" s="639">
        <f>SUM(D144:D150)</f>
        <v>2596399.4210000001</v>
      </c>
      <c r="E151" s="308"/>
      <c r="F151" s="320">
        <f>SUM(F144:F150)</f>
        <v>1</v>
      </c>
      <c r="G151" s="40"/>
      <c r="J151" s="117"/>
    </row>
    <row r="152" spans="1:10" ht="15.75" thickTop="1" x14ac:dyDescent="0.2">
      <c r="A152" s="298"/>
      <c r="B152" s="298"/>
      <c r="C152" s="298"/>
      <c r="D152" s="642"/>
      <c r="E152" s="298"/>
      <c r="F152" s="298"/>
      <c r="J152" s="117"/>
    </row>
    <row r="153" spans="1:10" x14ac:dyDescent="0.2">
      <c r="J153" s="117"/>
    </row>
    <row r="154" spans="1:10" x14ac:dyDescent="0.2">
      <c r="J154" s="487"/>
    </row>
  </sheetData>
  <mergeCells count="7">
    <mergeCell ref="A138:F138"/>
    <mergeCell ref="A115:F115"/>
    <mergeCell ref="A7:F7"/>
    <mergeCell ref="A50:F50"/>
    <mergeCell ref="A71:F71"/>
    <mergeCell ref="A94:F94"/>
    <mergeCell ref="A26:F26"/>
  </mergeCells>
  <phoneticPr fontId="13" type="noConversion"/>
  <printOptions horizontalCentered="1"/>
  <pageMargins left="1" right="1" top="1" bottom="0.5" header="0.5" footer="0.5"/>
  <pageSetup scale="94" fitToHeight="0" orientation="portrait" r:id="rId1"/>
  <headerFooter alignWithMargins="0"/>
  <rowBreaks count="3" manualBreakCount="3">
    <brk id="43" max="16383" man="1"/>
    <brk id="87" max="16383" man="1"/>
    <brk id="1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R64"/>
  <sheetViews>
    <sheetView workbookViewId="0">
      <selection activeCell="R10" sqref="R10"/>
    </sheetView>
  </sheetViews>
  <sheetFormatPr defaultColWidth="8.88671875" defaultRowHeight="15" x14ac:dyDescent="0.2"/>
  <cols>
    <col min="1" max="1" width="3" style="16" customWidth="1"/>
    <col min="2" max="2" width="11.109375" style="16" customWidth="1"/>
    <col min="3" max="3" width="2.5546875" style="16" customWidth="1"/>
    <col min="4" max="4" width="9.77734375" style="16" customWidth="1"/>
    <col min="5" max="5" width="2.21875" style="16" customWidth="1"/>
    <col min="6" max="6" width="8.88671875" style="16"/>
    <col min="7" max="7" width="2" style="16" customWidth="1"/>
    <col min="8" max="8" width="9.88671875" style="16" customWidth="1"/>
    <col min="9" max="9" width="1.44140625" style="16" customWidth="1"/>
    <col min="10" max="10" width="8.88671875" style="16"/>
    <col min="11" max="11" width="2.109375" style="16" customWidth="1"/>
    <col min="12" max="12" width="8.88671875" style="16"/>
    <col min="13" max="13" width="1.5546875" style="16" customWidth="1"/>
    <col min="14" max="14" width="8.88671875" style="16"/>
    <col min="15" max="15" width="1.88671875" style="16" customWidth="1"/>
    <col min="16" max="16" width="10.21875" style="16" customWidth="1"/>
    <col min="17" max="16384" width="8.88671875" style="16"/>
  </cols>
  <sheetData>
    <row r="1" spans="2:18" x14ac:dyDescent="0.2">
      <c r="B1" s="700" t="s">
        <v>133</v>
      </c>
      <c r="C1" s="700"/>
      <c r="D1" s="700"/>
      <c r="E1" s="700"/>
      <c r="F1" s="700"/>
      <c r="G1" s="700"/>
      <c r="H1" s="700"/>
      <c r="I1" s="700"/>
      <c r="J1" s="700"/>
      <c r="K1" s="700"/>
      <c r="L1" s="700"/>
      <c r="M1" s="700"/>
      <c r="N1" s="700"/>
      <c r="O1" s="700"/>
      <c r="P1" s="700"/>
      <c r="Q1" s="125"/>
      <c r="R1" s="125"/>
    </row>
    <row r="2" spans="2:18" x14ac:dyDescent="0.2">
      <c r="M2" s="125"/>
      <c r="N2" s="125"/>
      <c r="O2" s="125"/>
      <c r="P2" s="125"/>
      <c r="Q2" s="125"/>
      <c r="R2" s="125"/>
    </row>
    <row r="3" spans="2:18" x14ac:dyDescent="0.2">
      <c r="B3" s="700" t="s">
        <v>629</v>
      </c>
      <c r="C3" s="700"/>
      <c r="D3" s="700"/>
      <c r="E3" s="700"/>
      <c r="F3" s="700"/>
      <c r="G3" s="700"/>
      <c r="H3" s="700"/>
      <c r="I3" s="700"/>
      <c r="J3" s="700"/>
      <c r="K3" s="700"/>
      <c r="L3" s="700"/>
      <c r="M3" s="700"/>
      <c r="N3" s="700"/>
      <c r="O3" s="700"/>
      <c r="P3" s="700"/>
      <c r="Q3" s="125"/>
      <c r="R3" s="125"/>
    </row>
    <row r="4" spans="2:18" x14ac:dyDescent="0.2">
      <c r="B4" s="121"/>
      <c r="C4" s="121"/>
      <c r="D4" s="121"/>
      <c r="E4" s="121"/>
      <c r="F4" s="121"/>
      <c r="G4" s="121"/>
      <c r="H4" s="121"/>
      <c r="I4" s="121"/>
      <c r="J4" s="121"/>
      <c r="K4" s="121"/>
      <c r="L4" s="121"/>
      <c r="M4" s="125"/>
      <c r="N4" s="125"/>
      <c r="O4" s="125"/>
      <c r="P4" s="125"/>
      <c r="Q4" s="125"/>
      <c r="R4" s="125"/>
    </row>
    <row r="5" spans="2:18" x14ac:dyDescent="0.2">
      <c r="B5" s="121"/>
      <c r="C5" s="121"/>
      <c r="D5" s="121" t="s">
        <v>9</v>
      </c>
      <c r="E5" s="121"/>
      <c r="F5"/>
      <c r="G5" s="121"/>
      <c r="H5"/>
      <c r="I5"/>
      <c r="J5"/>
      <c r="K5" s="121"/>
      <c r="L5" s="121"/>
      <c r="M5" s="125"/>
      <c r="N5" s="125"/>
      <c r="O5" s="125"/>
      <c r="P5" s="125"/>
      <c r="Q5" s="125"/>
      <c r="R5" s="125"/>
    </row>
    <row r="6" spans="2:18" x14ac:dyDescent="0.2">
      <c r="D6" s="121" t="s">
        <v>10</v>
      </c>
      <c r="E6" s="121"/>
      <c r="F6" s="121" t="s">
        <v>182</v>
      </c>
      <c r="G6" s="121"/>
      <c r="H6" s="121" t="s">
        <v>11</v>
      </c>
      <c r="I6" s="121"/>
      <c r="J6" s="121"/>
      <c r="K6" s="121"/>
      <c r="L6" s="121" t="s">
        <v>369</v>
      </c>
      <c r="M6" s="122"/>
      <c r="N6" s="122" t="s">
        <v>370</v>
      </c>
      <c r="O6" s="122"/>
      <c r="P6" s="122" t="s">
        <v>370</v>
      </c>
      <c r="Q6" s="122"/>
      <c r="R6" s="122"/>
    </row>
    <row r="7" spans="2:18" x14ac:dyDescent="0.2">
      <c r="B7" s="123" t="s">
        <v>378</v>
      </c>
      <c r="D7" s="123" t="s">
        <v>12</v>
      </c>
      <c r="E7" s="121"/>
      <c r="F7" s="123" t="s">
        <v>379</v>
      </c>
      <c r="G7" s="121"/>
      <c r="H7" s="123" t="s">
        <v>379</v>
      </c>
      <c r="I7" s="172"/>
      <c r="J7" s="123" t="s">
        <v>13</v>
      </c>
      <c r="K7" s="121"/>
      <c r="L7" s="123" t="s">
        <v>180</v>
      </c>
      <c r="M7" s="122"/>
      <c r="N7" s="123" t="s">
        <v>379</v>
      </c>
      <c r="O7" s="122"/>
      <c r="P7" s="239" t="s">
        <v>180</v>
      </c>
      <c r="Q7" s="122"/>
      <c r="R7" s="122"/>
    </row>
    <row r="8" spans="2:18" x14ac:dyDescent="0.2">
      <c r="B8" s="184">
        <v>-1</v>
      </c>
      <c r="C8" s="184"/>
      <c r="D8" s="184">
        <v>-2</v>
      </c>
      <c r="E8" s="184"/>
      <c r="F8" s="184">
        <v>-3</v>
      </c>
      <c r="G8" s="184"/>
      <c r="H8" s="184">
        <v>-4</v>
      </c>
      <c r="I8" s="184"/>
      <c r="J8" s="184">
        <v>-5</v>
      </c>
      <c r="K8" s="184"/>
      <c r="L8" s="184">
        <v>-6</v>
      </c>
      <c r="M8" s="122"/>
      <c r="N8" s="122"/>
      <c r="O8" s="122"/>
      <c r="P8" s="122"/>
      <c r="Q8" s="122"/>
      <c r="R8" s="122"/>
    </row>
    <row r="9" spans="2:18" x14ac:dyDescent="0.2">
      <c r="B9" s="184"/>
      <c r="C9" s="184"/>
      <c r="D9" s="184"/>
      <c r="E9" s="184"/>
      <c r="F9" s="184"/>
      <c r="G9" s="184"/>
      <c r="H9" s="184"/>
      <c r="I9" s="184"/>
      <c r="J9" s="184"/>
      <c r="K9" s="184"/>
      <c r="L9" s="184"/>
      <c r="M9" s="241"/>
      <c r="N9" s="234"/>
      <c r="O9" s="241"/>
      <c r="P9" s="241"/>
      <c r="Q9" s="241"/>
      <c r="R9" s="241"/>
    </row>
    <row r="10" spans="2:18" x14ac:dyDescent="0.2">
      <c r="B10" s="249">
        <v>2017</v>
      </c>
      <c r="C10" s="184"/>
      <c r="D10" s="185">
        <v>14772.354714319994</v>
      </c>
      <c r="E10" s="184"/>
      <c r="F10" s="126">
        <f>+D10/365</f>
        <v>40.472204696767108</v>
      </c>
      <c r="G10" s="184"/>
      <c r="H10" s="460">
        <v>60.5</v>
      </c>
      <c r="I10" s="184"/>
      <c r="J10" s="290" t="s">
        <v>628</v>
      </c>
      <c r="K10" s="184"/>
      <c r="L10" s="126">
        <f t="shared" ref="L10:L20" si="0">+H10/F10</f>
        <v>1.4948530838210723</v>
      </c>
      <c r="M10" s="434"/>
      <c r="N10" s="234"/>
      <c r="O10" s="434"/>
      <c r="P10" s="434"/>
      <c r="Q10" s="434"/>
      <c r="R10" s="628"/>
    </row>
    <row r="11" spans="2:18" x14ac:dyDescent="0.2">
      <c r="B11" s="184"/>
      <c r="C11" s="184"/>
      <c r="D11" s="184" t="s">
        <v>261</v>
      </c>
      <c r="E11" s="184"/>
      <c r="F11" s="184"/>
      <c r="G11" s="184"/>
      <c r="H11" s="184"/>
      <c r="I11" s="184"/>
      <c r="J11" s="184"/>
      <c r="K11" s="184"/>
      <c r="L11" s="184"/>
      <c r="M11" s="434"/>
      <c r="N11" s="234"/>
      <c r="O11" s="434"/>
      <c r="P11" s="434"/>
      <c r="Q11" s="434"/>
      <c r="R11" s="434"/>
    </row>
    <row r="12" spans="2:18" x14ac:dyDescent="0.2">
      <c r="B12" s="249">
        <v>2016</v>
      </c>
      <c r="C12" s="184"/>
      <c r="D12" s="459">
        <v>14934.62885682</v>
      </c>
      <c r="E12" s="184"/>
      <c r="F12" s="126">
        <f>+D12/365</f>
        <v>40.916791388547942</v>
      </c>
      <c r="G12" s="184"/>
      <c r="H12" s="460">
        <v>56.190142849999994</v>
      </c>
      <c r="I12" s="184"/>
      <c r="J12" s="290" t="s">
        <v>627</v>
      </c>
      <c r="K12" s="184"/>
      <c r="L12" s="126">
        <f t="shared" si="0"/>
        <v>1.3732783276287606</v>
      </c>
      <c r="M12" s="434"/>
      <c r="N12" s="234"/>
      <c r="O12" s="434"/>
      <c r="P12" s="434"/>
      <c r="Q12" s="434"/>
      <c r="R12" s="434"/>
    </row>
    <row r="13" spans="2:18" x14ac:dyDescent="0.2">
      <c r="B13" s="184"/>
      <c r="C13" s="184"/>
      <c r="D13" s="184"/>
      <c r="E13" s="184"/>
      <c r="F13" s="184"/>
      <c r="G13" s="184"/>
      <c r="H13" s="184"/>
      <c r="I13" s="184"/>
      <c r="J13" s="184"/>
      <c r="K13" s="184"/>
      <c r="L13" s="184"/>
      <c r="M13" s="434"/>
      <c r="N13" s="234"/>
      <c r="O13" s="434"/>
      <c r="P13" s="434"/>
      <c r="Q13" s="434"/>
      <c r="R13" s="434"/>
    </row>
    <row r="14" spans="2:18" x14ac:dyDescent="0.2">
      <c r="B14" s="249">
        <v>2015</v>
      </c>
      <c r="C14" s="184"/>
      <c r="D14" s="185">
        <v>14292.262428769996</v>
      </c>
      <c r="E14" s="184"/>
      <c r="F14" s="126">
        <f>+D14/365</f>
        <v>39.15688336649314</v>
      </c>
      <c r="G14" s="184"/>
      <c r="H14" s="460">
        <v>57.581000000000003</v>
      </c>
      <c r="I14" s="184"/>
      <c r="J14" s="290" t="s">
        <v>626</v>
      </c>
      <c r="K14" s="184"/>
      <c r="L14" s="126">
        <f t="shared" si="0"/>
        <v>1.47052050749454</v>
      </c>
      <c r="M14" s="283"/>
      <c r="N14" s="234"/>
      <c r="O14" s="283"/>
      <c r="P14" s="283"/>
      <c r="Q14" s="283"/>
      <c r="R14" s="283"/>
    </row>
    <row r="15" spans="2:18" x14ac:dyDescent="0.2">
      <c r="B15" s="184"/>
      <c r="C15" s="184"/>
      <c r="D15" s="185"/>
      <c r="E15" s="184"/>
      <c r="F15" s="126"/>
      <c r="G15" s="184"/>
      <c r="H15" s="184"/>
      <c r="I15" s="184"/>
      <c r="J15" s="184"/>
      <c r="K15" s="184"/>
      <c r="L15" s="184"/>
      <c r="M15" s="288"/>
      <c r="N15" s="234"/>
      <c r="O15" s="288"/>
      <c r="P15" s="288"/>
      <c r="Q15" s="288"/>
      <c r="R15" s="288"/>
    </row>
    <row r="16" spans="2:18" x14ac:dyDescent="0.2">
      <c r="B16" s="249">
        <v>2014</v>
      </c>
      <c r="C16" s="184"/>
      <c r="D16" s="185">
        <v>13955.075000000001</v>
      </c>
      <c r="E16" s="184"/>
      <c r="F16" s="126">
        <f t="shared" ref="F16:F20" si="1">+D16/365</f>
        <v>38.233082191780824</v>
      </c>
      <c r="G16" s="184"/>
      <c r="H16" s="289">
        <v>56.89</v>
      </c>
      <c r="I16" s="184"/>
      <c r="J16" s="290" t="s">
        <v>592</v>
      </c>
      <c r="K16" s="184"/>
      <c r="L16" s="126">
        <f t="shared" si="0"/>
        <v>1.4879783877908215</v>
      </c>
      <c r="M16" s="434"/>
      <c r="N16" s="234">
        <v>91.8</v>
      </c>
      <c r="O16" s="434"/>
      <c r="P16" s="238">
        <f t="shared" ref="P16:P20" si="2">+N16/F16</f>
        <v>2.4010619792441101</v>
      </c>
      <c r="Q16" s="288"/>
      <c r="R16" s="288"/>
    </row>
    <row r="17" spans="2:18" x14ac:dyDescent="0.2">
      <c r="B17" s="184"/>
      <c r="C17" s="184"/>
      <c r="D17" s="185"/>
      <c r="E17" s="184"/>
      <c r="F17" s="126"/>
      <c r="G17" s="184"/>
      <c r="H17" s="289"/>
      <c r="I17" s="184"/>
      <c r="J17" s="184"/>
      <c r="K17" s="184"/>
      <c r="L17" s="126"/>
      <c r="M17" s="434"/>
      <c r="N17" s="234"/>
      <c r="O17" s="434"/>
      <c r="P17" s="238"/>
      <c r="Q17" s="288"/>
      <c r="R17" s="288"/>
    </row>
    <row r="18" spans="2:18" x14ac:dyDescent="0.2">
      <c r="B18" s="249">
        <v>2013</v>
      </c>
      <c r="C18" s="184"/>
      <c r="D18" s="185">
        <v>13271.263999999999</v>
      </c>
      <c r="E18" s="184"/>
      <c r="F18" s="126">
        <f t="shared" si="1"/>
        <v>36.359627397260269</v>
      </c>
      <c r="G18" s="184"/>
      <c r="H18" s="289">
        <v>52.66</v>
      </c>
      <c r="I18" s="184"/>
      <c r="J18" s="290" t="s">
        <v>591</v>
      </c>
      <c r="K18" s="184"/>
      <c r="L18" s="126">
        <f t="shared" si="0"/>
        <v>1.4483096711812833</v>
      </c>
      <c r="M18" s="434"/>
      <c r="N18" s="234">
        <v>84.1</v>
      </c>
      <c r="O18" s="434"/>
      <c r="P18" s="238">
        <f t="shared" si="2"/>
        <v>2.3130050008800973</v>
      </c>
      <c r="Q18" s="288"/>
      <c r="R18" s="288"/>
    </row>
    <row r="19" spans="2:18" x14ac:dyDescent="0.2">
      <c r="B19" s="184"/>
      <c r="C19" s="184"/>
      <c r="D19" s="185"/>
      <c r="E19" s="184"/>
      <c r="F19" s="126"/>
      <c r="G19" s="184"/>
      <c r="H19" s="289"/>
      <c r="I19" s="184"/>
      <c r="J19" s="184"/>
      <c r="K19" s="184"/>
      <c r="L19" s="126"/>
      <c r="M19" s="434"/>
      <c r="N19" s="234"/>
      <c r="O19" s="434"/>
      <c r="P19" s="238"/>
      <c r="Q19" s="288"/>
      <c r="R19" s="288"/>
    </row>
    <row r="20" spans="2:18" x14ac:dyDescent="0.2">
      <c r="B20" s="249">
        <v>2012</v>
      </c>
      <c r="C20" s="184"/>
      <c r="D20" s="185">
        <v>14310.108</v>
      </c>
      <c r="E20" s="184"/>
      <c r="F20" s="126">
        <f t="shared" si="1"/>
        <v>39.205775342465756</v>
      </c>
      <c r="G20" s="184"/>
      <c r="H20" s="289">
        <v>68.95</v>
      </c>
      <c r="I20" s="184"/>
      <c r="J20" s="290" t="s">
        <v>26</v>
      </c>
      <c r="K20" s="184"/>
      <c r="L20" s="126">
        <f t="shared" si="0"/>
        <v>1.7586694663660121</v>
      </c>
      <c r="M20" s="434"/>
      <c r="N20" s="234">
        <v>96.9</v>
      </c>
      <c r="O20" s="434"/>
      <c r="P20" s="238">
        <f t="shared" si="2"/>
        <v>2.4715746380111177</v>
      </c>
      <c r="Q20" s="288"/>
      <c r="R20" s="288"/>
    </row>
    <row r="21" spans="2:18" x14ac:dyDescent="0.2">
      <c r="B21" s="184"/>
      <c r="C21" s="184"/>
      <c r="D21" s="184"/>
      <c r="E21" s="184"/>
      <c r="F21" s="126"/>
      <c r="G21" s="184"/>
      <c r="H21" s="184"/>
      <c r="I21" s="184"/>
      <c r="J21" s="184"/>
      <c r="K21" s="184"/>
      <c r="L21" s="126"/>
      <c r="M21" s="434"/>
      <c r="N21" s="234"/>
      <c r="O21" s="434"/>
      <c r="P21" s="238"/>
      <c r="Q21" s="283"/>
      <c r="R21" s="283"/>
    </row>
    <row r="22" spans="2:18" x14ac:dyDescent="0.2">
      <c r="B22" s="249">
        <v>2011</v>
      </c>
      <c r="C22" s="184"/>
      <c r="D22" s="185">
        <v>13785.489170000003</v>
      </c>
      <c r="E22" s="184"/>
      <c r="F22" s="126">
        <f>+D22/365</f>
        <v>37.768463479452059</v>
      </c>
      <c r="G22" s="184"/>
      <c r="H22" s="255">
        <v>55.823999999999998</v>
      </c>
      <c r="I22" s="184"/>
      <c r="J22" s="186" t="s">
        <v>414</v>
      </c>
      <c r="K22" s="184"/>
      <c r="L22" s="126">
        <f>+H22/F22</f>
        <v>1.4780585403049573</v>
      </c>
      <c r="M22" s="434"/>
      <c r="N22" s="234">
        <v>78.900000000000006</v>
      </c>
      <c r="O22" s="434"/>
      <c r="P22" s="238">
        <f t="shared" ref="P22" si="3">+N22/F22</f>
        <v>2.0890444760329094</v>
      </c>
      <c r="Q22" s="241"/>
      <c r="R22" s="241"/>
    </row>
    <row r="23" spans="2:18" x14ac:dyDescent="0.2">
      <c r="B23" s="184"/>
      <c r="C23" s="184"/>
      <c r="D23" s="184"/>
      <c r="E23" s="184"/>
      <c r="F23" s="184"/>
      <c r="G23" s="184"/>
      <c r="H23" s="184"/>
      <c r="I23" s="184"/>
      <c r="J23" s="184"/>
      <c r="K23" s="184"/>
      <c r="L23" s="184"/>
      <c r="M23" s="434"/>
      <c r="N23" s="234"/>
      <c r="O23" s="434"/>
      <c r="Q23" s="241"/>
      <c r="R23" s="241"/>
    </row>
    <row r="24" spans="2:18" x14ac:dyDescent="0.2">
      <c r="B24" s="249">
        <v>2010</v>
      </c>
      <c r="C24" s="184"/>
      <c r="D24" s="254">
        <v>14817.378760000001</v>
      </c>
      <c r="E24" s="184"/>
      <c r="F24" s="126">
        <f>+D24/365</f>
        <v>40.595558246575344</v>
      </c>
      <c r="G24" s="184"/>
      <c r="H24" s="255">
        <v>61.357999999999997</v>
      </c>
      <c r="I24" s="184"/>
      <c r="J24" s="186" t="s">
        <v>590</v>
      </c>
      <c r="K24" s="184"/>
      <c r="L24" s="126">
        <f>+H24/F24</f>
        <v>1.5114461446081033</v>
      </c>
      <c r="M24" s="434"/>
      <c r="N24" s="234">
        <v>93.65</v>
      </c>
      <c r="O24" s="434"/>
      <c r="P24" s="238">
        <f t="shared" ref="P24" si="4">+N24/F24</f>
        <v>2.3069026278977294</v>
      </c>
      <c r="Q24" s="241"/>
      <c r="R24" s="241"/>
    </row>
    <row r="25" spans="2:18" x14ac:dyDescent="0.2">
      <c r="B25" s="184"/>
      <c r="C25" s="184"/>
      <c r="D25" s="184"/>
      <c r="E25" s="184"/>
      <c r="F25" s="184"/>
      <c r="G25" s="184"/>
      <c r="H25" s="184"/>
      <c r="I25" s="184"/>
      <c r="J25" s="184"/>
      <c r="K25" s="184"/>
      <c r="L25" s="184"/>
      <c r="N25" s="234"/>
    </row>
    <row r="26" spans="2:18" x14ac:dyDescent="0.2">
      <c r="B26" s="121">
        <v>2009</v>
      </c>
      <c r="C26" s="184"/>
      <c r="D26" s="185">
        <v>13904.565000000001</v>
      </c>
      <c r="E26" s="184"/>
      <c r="F26" s="126">
        <f>+D26/365</f>
        <v>38.094698630136989</v>
      </c>
      <c r="G26" s="184"/>
      <c r="H26" s="126">
        <v>53.401000000000003</v>
      </c>
      <c r="I26" s="184"/>
      <c r="J26" s="186" t="s">
        <v>149</v>
      </c>
      <c r="K26" s="184"/>
      <c r="L26" s="126">
        <f>+H26/F26</f>
        <v>1.401796100776975</v>
      </c>
      <c r="N26" s="234">
        <v>76.652000000000001</v>
      </c>
      <c r="P26" s="238">
        <f>+N26/F26</f>
        <v>2.0121434938813261</v>
      </c>
    </row>
    <row r="27" spans="2:18" x14ac:dyDescent="0.2">
      <c r="B27" s="184"/>
      <c r="C27" s="184"/>
      <c r="D27" s="184"/>
      <c r="E27" s="184"/>
      <c r="F27" s="184"/>
      <c r="G27" s="184"/>
      <c r="H27" s="184"/>
      <c r="I27" s="184"/>
      <c r="J27" s="184"/>
      <c r="K27" s="184"/>
      <c r="L27" s="184"/>
      <c r="N27" s="234"/>
    </row>
    <row r="28" spans="2:18" x14ac:dyDescent="0.2">
      <c r="B28" s="121">
        <v>2008</v>
      </c>
      <c r="C28" s="184"/>
      <c r="D28" s="185">
        <v>15644.484</v>
      </c>
      <c r="E28" s="184"/>
      <c r="F28" s="126">
        <f>+D28/365</f>
        <v>42.861600000000003</v>
      </c>
      <c r="G28" s="184"/>
      <c r="H28" s="126">
        <v>63.085000000000001</v>
      </c>
      <c r="I28" s="184"/>
      <c r="J28" s="186" t="s">
        <v>14</v>
      </c>
      <c r="K28" s="184"/>
      <c r="L28" s="126">
        <f>+H28/F28</f>
        <v>1.4718302629859827</v>
      </c>
      <c r="N28" s="234">
        <v>96.575999999999993</v>
      </c>
      <c r="P28" s="238">
        <f>+N28/F28</f>
        <v>2.2532056666106723</v>
      </c>
    </row>
    <row r="29" spans="2:18" x14ac:dyDescent="0.2">
      <c r="B29" s="184"/>
      <c r="C29" s="184"/>
      <c r="D29" s="184"/>
      <c r="E29" s="184"/>
      <c r="F29" s="184"/>
      <c r="G29" s="184"/>
      <c r="H29" s="184"/>
      <c r="I29" s="184"/>
      <c r="J29" s="184"/>
      <c r="K29" s="184"/>
      <c r="L29" s="184"/>
      <c r="N29" s="234"/>
    </row>
    <row r="30" spans="2:18" x14ac:dyDescent="0.2">
      <c r="B30" s="121">
        <v>2007</v>
      </c>
      <c r="C30" s="184"/>
      <c r="D30" s="185">
        <v>15734.453</v>
      </c>
      <c r="E30" s="184"/>
      <c r="F30" s="126">
        <f>+D30/365</f>
        <v>43.108090410958901</v>
      </c>
      <c r="G30" s="184"/>
      <c r="H30" s="126">
        <v>64.299000000000007</v>
      </c>
      <c r="I30" s="184"/>
      <c r="J30" s="124" t="s">
        <v>15</v>
      </c>
      <c r="K30" s="184"/>
      <c r="L30" s="126">
        <f>+H30/F30</f>
        <v>1.4915761609253275</v>
      </c>
      <c r="N30" s="234">
        <v>84.091999999999999</v>
      </c>
      <c r="P30" s="238">
        <f>+N30/F30</f>
        <v>1.9507243118016242</v>
      </c>
    </row>
    <row r="31" spans="2:18" x14ac:dyDescent="0.2">
      <c r="B31" s="184"/>
      <c r="C31" s="184"/>
      <c r="D31" s="184"/>
      <c r="E31" s="184"/>
      <c r="F31" s="184"/>
      <c r="G31" s="184"/>
      <c r="H31" s="184"/>
      <c r="I31" s="184"/>
      <c r="J31" s="184"/>
      <c r="K31" s="184"/>
      <c r="L31" s="184"/>
      <c r="N31" s="234"/>
    </row>
    <row r="32" spans="2:18" x14ac:dyDescent="0.2">
      <c r="B32" s="121">
        <v>2006</v>
      </c>
      <c r="D32" s="117">
        <v>15619</v>
      </c>
      <c r="F32" s="126">
        <f>+D32/365</f>
        <v>42.791780821917811</v>
      </c>
      <c r="H32" s="16">
        <v>67.22</v>
      </c>
      <c r="J32" s="124" t="s">
        <v>16</v>
      </c>
      <c r="L32" s="126">
        <f>+H32/F32</f>
        <v>1.5708624111658875</v>
      </c>
      <c r="N32" s="234">
        <v>82.652000000000001</v>
      </c>
      <c r="P32" s="238">
        <f>+N32/F32</f>
        <v>1.9314924130866251</v>
      </c>
    </row>
    <row r="33" spans="2:16" x14ac:dyDescent="0.2">
      <c r="B33" s="184"/>
      <c r="C33" s="184"/>
      <c r="D33" s="184"/>
      <c r="E33" s="184"/>
      <c r="F33" s="184"/>
      <c r="G33" s="184"/>
      <c r="H33" s="184"/>
      <c r="I33" s="184"/>
      <c r="J33" s="184"/>
      <c r="K33" s="184"/>
      <c r="L33" s="184"/>
      <c r="N33" s="234"/>
    </row>
    <row r="34" spans="2:16" x14ac:dyDescent="0.2">
      <c r="B34" s="121">
        <v>2005</v>
      </c>
      <c r="D34" s="117">
        <v>16068</v>
      </c>
      <c r="F34" s="126">
        <f>+D34/365</f>
        <v>44.021917808219179</v>
      </c>
      <c r="H34" s="16">
        <v>69.650000000000006</v>
      </c>
      <c r="J34" s="124" t="s">
        <v>17</v>
      </c>
      <c r="L34" s="126">
        <f>+H34/F34</f>
        <v>1.5821664177246701</v>
      </c>
      <c r="N34" s="234">
        <v>109.398</v>
      </c>
      <c r="P34" s="238">
        <f>+N34/F34</f>
        <v>2.4850802837938759</v>
      </c>
    </row>
    <row r="35" spans="2:16" x14ac:dyDescent="0.2">
      <c r="B35" s="184"/>
      <c r="C35" s="184"/>
      <c r="D35" s="184"/>
      <c r="E35" s="184"/>
      <c r="F35" s="184"/>
      <c r="G35" s="184"/>
      <c r="H35" s="184"/>
      <c r="I35" s="184"/>
      <c r="J35" s="184"/>
      <c r="K35" s="184"/>
      <c r="L35" s="184"/>
      <c r="N35" s="234"/>
    </row>
    <row r="36" spans="2:16" x14ac:dyDescent="0.2">
      <c r="B36" s="121">
        <v>2004</v>
      </c>
      <c r="D36" s="117">
        <v>14931</v>
      </c>
      <c r="F36" s="126">
        <f>+D36/365</f>
        <v>40.906849315068492</v>
      </c>
      <c r="H36" s="16">
        <v>56.89</v>
      </c>
      <c r="J36" s="186" t="s">
        <v>18</v>
      </c>
      <c r="L36" s="126">
        <f>+H36/F36</f>
        <v>1.3907206483155852</v>
      </c>
      <c r="N36" s="234">
        <v>76.75</v>
      </c>
      <c r="P36" s="238">
        <f>+N36/F36</f>
        <v>1.876213917353158</v>
      </c>
    </row>
    <row r="37" spans="2:16" x14ac:dyDescent="0.2">
      <c r="N37" s="234"/>
    </row>
    <row r="38" spans="2:16" x14ac:dyDescent="0.2">
      <c r="B38" s="121">
        <v>2003</v>
      </c>
      <c r="D38" s="117">
        <v>15005</v>
      </c>
      <c r="F38" s="126">
        <f>+D38/365</f>
        <v>41.109589041095887</v>
      </c>
      <c r="H38" s="16">
        <v>61.37</v>
      </c>
      <c r="J38" s="124" t="s">
        <v>19</v>
      </c>
      <c r="L38" s="126">
        <f>+H38/F38</f>
        <v>1.4928390536487839</v>
      </c>
      <c r="N38" s="234">
        <v>83.63</v>
      </c>
      <c r="P38" s="238">
        <f>+N38/F38</f>
        <v>2.0343185604798402</v>
      </c>
    </row>
    <row r="39" spans="2:16" x14ac:dyDescent="0.2">
      <c r="B39" s="121"/>
      <c r="D39" s="117"/>
      <c r="F39" s="126"/>
      <c r="L39" s="126"/>
      <c r="N39" s="234"/>
    </row>
    <row r="40" spans="2:16" x14ac:dyDescent="0.2">
      <c r="B40" s="121">
        <v>2002</v>
      </c>
      <c r="D40" s="117">
        <v>15956</v>
      </c>
      <c r="F40" s="126">
        <f t="shared" ref="F40:F64" si="5">+D40/365</f>
        <v>43.715068493150682</v>
      </c>
      <c r="H40" s="16">
        <v>71.819999999999993</v>
      </c>
      <c r="J40" s="124" t="s">
        <v>20</v>
      </c>
      <c r="L40" s="126">
        <f t="shared" ref="L40:L64" si="6">+H40/F40</f>
        <v>1.6429117573326648</v>
      </c>
      <c r="N40" s="234">
        <v>107.5</v>
      </c>
      <c r="P40" s="238">
        <f>+N40/F40</f>
        <v>2.4591062923038356</v>
      </c>
    </row>
    <row r="41" spans="2:16" x14ac:dyDescent="0.2">
      <c r="B41" s="121"/>
      <c r="D41" s="117"/>
      <c r="F41" s="126"/>
      <c r="J41" s="433"/>
      <c r="L41" s="126"/>
      <c r="N41" s="234"/>
    </row>
    <row r="42" spans="2:16" x14ac:dyDescent="0.2">
      <c r="B42" s="121">
        <v>2001</v>
      </c>
      <c r="D42" s="117">
        <v>14962</v>
      </c>
      <c r="F42" s="126">
        <f t="shared" si="5"/>
        <v>40.991780821917807</v>
      </c>
      <c r="H42" s="16">
        <v>56.04</v>
      </c>
      <c r="J42" s="124" t="s">
        <v>21</v>
      </c>
      <c r="L42" s="126">
        <f t="shared" si="6"/>
        <v>1.3671033284320278</v>
      </c>
      <c r="N42" s="234">
        <v>91.62</v>
      </c>
      <c r="P42" s="238">
        <f>+N42/F42</f>
        <v>2.2350822082609278</v>
      </c>
    </row>
    <row r="43" spans="2:16" x14ac:dyDescent="0.2">
      <c r="B43" s="121"/>
      <c r="D43" s="117"/>
      <c r="F43" s="126"/>
      <c r="J43" s="433"/>
      <c r="L43" s="126"/>
      <c r="N43" s="234"/>
    </row>
    <row r="44" spans="2:16" x14ac:dyDescent="0.2">
      <c r="B44" s="121">
        <v>2000</v>
      </c>
      <c r="D44" s="117">
        <v>14565</v>
      </c>
      <c r="F44" s="126">
        <f t="shared" si="5"/>
        <v>39.904109589041099</v>
      </c>
      <c r="H44" s="16">
        <v>66.37</v>
      </c>
      <c r="J44" s="124" t="s">
        <v>22</v>
      </c>
      <c r="L44" s="126">
        <f t="shared" si="6"/>
        <v>1.6632372124957089</v>
      </c>
      <c r="N44" s="234">
        <v>85.075999999999993</v>
      </c>
      <c r="P44" s="238">
        <f>+N44/F44</f>
        <v>2.1320109852385851</v>
      </c>
    </row>
    <row r="45" spans="2:16" x14ac:dyDescent="0.2">
      <c r="B45" s="416"/>
      <c r="D45" s="94"/>
      <c r="F45" s="126"/>
      <c r="J45" s="416"/>
      <c r="L45" s="126"/>
    </row>
    <row r="46" spans="2:16" x14ac:dyDescent="0.2">
      <c r="B46" s="121">
        <v>1999</v>
      </c>
      <c r="D46" s="117">
        <v>15077</v>
      </c>
      <c r="F46" s="126">
        <f t="shared" si="5"/>
        <v>41.30684931506849</v>
      </c>
      <c r="H46" s="16">
        <v>61.18</v>
      </c>
      <c r="J46" s="124" t="s">
        <v>23</v>
      </c>
      <c r="L46" s="126">
        <f t="shared" si="6"/>
        <v>1.4811103004576509</v>
      </c>
    </row>
    <row r="47" spans="2:16" x14ac:dyDescent="0.2">
      <c r="B47" s="121"/>
      <c r="D47" s="117"/>
      <c r="F47" s="126"/>
      <c r="J47" s="121"/>
      <c r="L47" s="126"/>
    </row>
    <row r="48" spans="2:16" x14ac:dyDescent="0.2">
      <c r="B48" s="121">
        <v>1998</v>
      </c>
      <c r="D48" s="117">
        <v>14799</v>
      </c>
      <c r="F48" s="126">
        <f t="shared" si="5"/>
        <v>40.545205479452058</v>
      </c>
      <c r="H48" s="16">
        <v>64.67</v>
      </c>
      <c r="J48" s="124" t="s">
        <v>24</v>
      </c>
      <c r="L48" s="126">
        <f t="shared" si="6"/>
        <v>1.5950097979593214</v>
      </c>
    </row>
    <row r="49" spans="2:12" x14ac:dyDescent="0.2">
      <c r="B49" s="121"/>
      <c r="D49" s="117"/>
      <c r="F49" s="126"/>
      <c r="J49" s="121"/>
      <c r="L49" s="126"/>
    </row>
    <row r="50" spans="2:12" x14ac:dyDescent="0.2">
      <c r="B50" s="121">
        <v>1997</v>
      </c>
      <c r="D50" s="117">
        <v>14419</v>
      </c>
      <c r="F50" s="126">
        <f t="shared" si="5"/>
        <v>39.504109589041093</v>
      </c>
      <c r="H50" s="126">
        <v>60.7</v>
      </c>
      <c r="I50" s="126"/>
      <c r="J50" s="187" t="s">
        <v>25</v>
      </c>
      <c r="L50" s="126">
        <f t="shared" si="6"/>
        <v>1.5365489978500591</v>
      </c>
    </row>
    <row r="51" spans="2:12" x14ac:dyDescent="0.2">
      <c r="B51" s="121"/>
      <c r="D51" s="117"/>
      <c r="F51" s="126"/>
      <c r="J51" s="121"/>
      <c r="L51" s="126"/>
    </row>
    <row r="52" spans="2:12" x14ac:dyDescent="0.2">
      <c r="B52" s="121">
        <v>1996</v>
      </c>
      <c r="D52" s="117">
        <v>14265</v>
      </c>
      <c r="F52" s="126">
        <f t="shared" si="5"/>
        <v>39.082191780821915</v>
      </c>
      <c r="H52" s="126">
        <v>53.7</v>
      </c>
      <c r="I52" s="126"/>
      <c r="J52" s="187" t="s">
        <v>26</v>
      </c>
      <c r="L52" s="126">
        <f t="shared" si="6"/>
        <v>1.3740273396424818</v>
      </c>
    </row>
    <row r="53" spans="2:12" x14ac:dyDescent="0.2">
      <c r="B53" s="121"/>
      <c r="D53" s="117"/>
      <c r="F53" s="126"/>
      <c r="J53" s="121"/>
      <c r="L53" s="126"/>
    </row>
    <row r="54" spans="2:12" x14ac:dyDescent="0.2">
      <c r="B54" s="121">
        <v>1995</v>
      </c>
      <c r="D54" s="117">
        <v>14549</v>
      </c>
      <c r="F54" s="126">
        <f t="shared" si="5"/>
        <v>39.860273972602741</v>
      </c>
      <c r="H54" s="16">
        <v>63.77</v>
      </c>
      <c r="J54" s="124" t="s">
        <v>27</v>
      </c>
      <c r="L54" s="126">
        <f t="shared" si="6"/>
        <v>1.5998384768712626</v>
      </c>
    </row>
    <row r="55" spans="2:12" x14ac:dyDescent="0.2">
      <c r="B55" s="121"/>
      <c r="D55" s="117"/>
      <c r="F55" s="126"/>
      <c r="H55"/>
      <c r="I55"/>
      <c r="J55" s="60"/>
      <c r="L55" s="126"/>
    </row>
    <row r="56" spans="2:12" x14ac:dyDescent="0.2">
      <c r="B56" s="121">
        <v>1994</v>
      </c>
      <c r="D56" s="117">
        <v>14471</v>
      </c>
      <c r="F56" s="126">
        <f t="shared" si="5"/>
        <v>39.646575342465752</v>
      </c>
      <c r="H56" s="16">
        <v>58.36</v>
      </c>
      <c r="J56" s="124" t="s">
        <v>28</v>
      </c>
      <c r="L56" s="126">
        <f t="shared" si="6"/>
        <v>1.4720060811277729</v>
      </c>
    </row>
    <row r="57" spans="2:12" x14ac:dyDescent="0.2">
      <c r="B57" s="121"/>
      <c r="D57" s="117"/>
      <c r="F57" s="126"/>
      <c r="H57"/>
      <c r="I57"/>
      <c r="J57" s="60"/>
      <c r="L57" s="126"/>
    </row>
    <row r="58" spans="2:12" x14ac:dyDescent="0.2">
      <c r="B58" s="121">
        <v>1993</v>
      </c>
      <c r="D58" s="117">
        <v>14290</v>
      </c>
      <c r="F58" s="126">
        <f t="shared" si="5"/>
        <v>39.150684931506852</v>
      </c>
      <c r="H58" s="16">
        <v>60.39</v>
      </c>
      <c r="J58" s="124" t="s">
        <v>19</v>
      </c>
      <c r="L58" s="126">
        <f t="shared" si="6"/>
        <v>1.5425017494751574</v>
      </c>
    </row>
    <row r="59" spans="2:12" x14ac:dyDescent="0.2">
      <c r="B59" s="121"/>
      <c r="D59" s="117"/>
      <c r="F59" s="126"/>
      <c r="H59"/>
      <c r="I59"/>
      <c r="J59" s="60"/>
      <c r="L59" s="126"/>
    </row>
    <row r="60" spans="2:12" x14ac:dyDescent="0.2">
      <c r="B60" s="121">
        <v>1992</v>
      </c>
      <c r="D60" s="117">
        <v>13303</v>
      </c>
      <c r="F60" s="126">
        <f t="shared" si="5"/>
        <v>36.446575342465756</v>
      </c>
      <c r="H60" s="16">
        <v>47.22</v>
      </c>
      <c r="J60" s="124" t="s">
        <v>29</v>
      </c>
      <c r="L60" s="126">
        <f t="shared" si="6"/>
        <v>1.2955949785762608</v>
      </c>
    </row>
    <row r="61" spans="2:12" x14ac:dyDescent="0.2">
      <c r="B61" s="121"/>
      <c r="D61" s="117"/>
      <c r="F61" s="126"/>
      <c r="H61"/>
      <c r="I61"/>
      <c r="J61" s="60"/>
      <c r="L61" s="126"/>
    </row>
    <row r="62" spans="2:12" x14ac:dyDescent="0.2">
      <c r="B62" s="121">
        <v>1991</v>
      </c>
      <c r="D62" s="117">
        <v>13450</v>
      </c>
      <c r="F62" s="126">
        <f t="shared" si="5"/>
        <v>36.849315068493148</v>
      </c>
      <c r="H62" s="16">
        <v>56.42</v>
      </c>
      <c r="J62" s="124" t="s">
        <v>16</v>
      </c>
      <c r="L62" s="126">
        <f t="shared" si="6"/>
        <v>1.531100371747212</v>
      </c>
    </row>
    <row r="63" spans="2:12" x14ac:dyDescent="0.2">
      <c r="B63" s="121"/>
      <c r="D63" s="117"/>
      <c r="F63" s="126"/>
      <c r="H63"/>
      <c r="I63"/>
      <c r="J63" s="60"/>
      <c r="L63" s="126"/>
    </row>
    <row r="64" spans="2:12" x14ac:dyDescent="0.2">
      <c r="B64" s="121">
        <v>1990</v>
      </c>
      <c r="D64" s="117">
        <v>12557</v>
      </c>
      <c r="F64" s="126">
        <f t="shared" si="5"/>
        <v>34.402739726027399</v>
      </c>
      <c r="H64" s="16">
        <v>58.05</v>
      </c>
      <c r="J64" s="124" t="s">
        <v>30</v>
      </c>
      <c r="L64" s="126">
        <f t="shared" si="6"/>
        <v>1.6873656128056063</v>
      </c>
    </row>
  </sheetData>
  <mergeCells count="2">
    <mergeCell ref="B3:P3"/>
    <mergeCell ref="B1:P1"/>
  </mergeCells>
  <phoneticPr fontId="13" type="noConversion"/>
  <pageMargins left="0.75" right="0.75" top="1" bottom="1" header="0.5" footer="0.5"/>
  <pageSetup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V50"/>
  <sheetViews>
    <sheetView workbookViewId="0">
      <selection activeCell="R34" sqref="R34"/>
    </sheetView>
  </sheetViews>
  <sheetFormatPr defaultColWidth="8.77734375" defaultRowHeight="12.75" x14ac:dyDescent="0.2"/>
  <cols>
    <col min="1" max="2" width="3.77734375" style="53" customWidth="1"/>
    <col min="3" max="3" width="7.33203125" style="53" customWidth="1"/>
    <col min="4" max="6" width="2.109375" style="53" customWidth="1"/>
    <col min="7" max="7" width="11.44140625" style="53" customWidth="1"/>
    <col min="8" max="8" width="2.77734375" style="53" customWidth="1"/>
    <col min="9" max="9" width="8.77734375" style="53" customWidth="1"/>
    <col min="10" max="10" width="2.77734375" style="53" customWidth="1"/>
    <col min="11" max="11" width="7.77734375" style="53" customWidth="1"/>
    <col min="12" max="12" width="2.77734375" style="53" customWidth="1"/>
    <col min="13" max="13" width="9.77734375" style="53" customWidth="1"/>
    <col min="14" max="14" width="2.77734375" style="53" customWidth="1"/>
    <col min="15" max="16" width="9.77734375" style="53" customWidth="1"/>
    <col min="17" max="16384" width="8.77734375" style="53"/>
  </cols>
  <sheetData>
    <row r="1" spans="1:256" ht="15" x14ac:dyDescent="0.2">
      <c r="A1" s="84"/>
      <c r="B1" s="84"/>
      <c r="C1" s="93" t="s">
        <v>8</v>
      </c>
      <c r="D1" s="83"/>
      <c r="E1" s="83"/>
      <c r="F1" s="83"/>
      <c r="G1" s="83"/>
      <c r="H1" s="83"/>
      <c r="I1" s="83"/>
      <c r="J1" s="83"/>
      <c r="K1" s="83"/>
      <c r="L1" s="83"/>
      <c r="M1" s="83"/>
      <c r="N1" s="83"/>
      <c r="O1" s="83"/>
      <c r="P1" s="85"/>
    </row>
    <row r="2" spans="1:256" ht="15" x14ac:dyDescent="0.2">
      <c r="B2" s="156"/>
      <c r="C2" s="93"/>
      <c r="D2" s="83"/>
      <c r="E2" s="83"/>
      <c r="F2" s="83"/>
      <c r="G2" s="83"/>
      <c r="H2" s="83"/>
      <c r="I2" s="83"/>
      <c r="J2" s="83"/>
      <c r="K2" s="83"/>
      <c r="L2" s="83"/>
      <c r="M2" s="83"/>
      <c r="N2" s="83"/>
      <c r="O2" s="83"/>
      <c r="P2" s="85"/>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row>
    <row r="3" spans="1:256" x14ac:dyDescent="0.2">
      <c r="A3" s="84"/>
      <c r="B3" s="436"/>
      <c r="C3" s="83" t="s">
        <v>134</v>
      </c>
      <c r="D3" s="83"/>
      <c r="E3" s="83"/>
      <c r="F3" s="83"/>
      <c r="G3" s="83"/>
      <c r="H3" s="83"/>
      <c r="I3" s="83"/>
      <c r="J3" s="83"/>
      <c r="K3" s="83"/>
      <c r="L3" s="83"/>
      <c r="M3" s="83"/>
      <c r="N3" s="83"/>
      <c r="O3" s="83"/>
      <c r="P3" s="85"/>
    </row>
    <row r="4" spans="1:256" x14ac:dyDescent="0.2">
      <c r="A4" s="84"/>
      <c r="B4" s="84"/>
      <c r="C4" s="83" t="s">
        <v>334</v>
      </c>
      <c r="D4" s="83"/>
      <c r="E4" s="83"/>
      <c r="F4" s="83"/>
      <c r="G4" s="83"/>
      <c r="H4" s="83"/>
      <c r="I4" s="83"/>
      <c r="J4" s="83"/>
      <c r="K4" s="83"/>
      <c r="L4" s="83"/>
      <c r="M4" s="83"/>
      <c r="N4" s="83"/>
      <c r="O4" s="83"/>
      <c r="P4" s="85"/>
    </row>
    <row r="5" spans="1:256" x14ac:dyDescent="0.2">
      <c r="A5" s="84"/>
      <c r="B5" s="84"/>
      <c r="C5" s="83" t="s">
        <v>127</v>
      </c>
      <c r="D5" s="83"/>
      <c r="E5" s="83"/>
      <c r="F5" s="83"/>
      <c r="G5" s="83"/>
      <c r="H5" s="83"/>
      <c r="I5" s="83"/>
      <c r="J5" s="83"/>
      <c r="K5" s="83"/>
      <c r="L5" s="83"/>
      <c r="M5" s="83"/>
      <c r="N5" s="83"/>
      <c r="O5" s="83"/>
      <c r="P5" s="85"/>
    </row>
    <row r="6" spans="1:256" x14ac:dyDescent="0.2">
      <c r="A6" s="84"/>
      <c r="B6" s="84"/>
      <c r="C6" s="85"/>
      <c r="D6" s="85"/>
      <c r="E6" s="85"/>
      <c r="F6" s="85"/>
      <c r="G6" s="85"/>
      <c r="H6" s="85"/>
      <c r="I6" s="85"/>
      <c r="J6" s="85"/>
      <c r="K6" s="85"/>
      <c r="L6" s="85"/>
      <c r="M6" s="85"/>
      <c r="N6" s="85"/>
      <c r="O6" s="85"/>
      <c r="P6" s="85"/>
    </row>
    <row r="7" spans="1:256" x14ac:dyDescent="0.2">
      <c r="A7" s="84"/>
      <c r="B7" s="84"/>
      <c r="C7" s="85"/>
      <c r="D7" s="85"/>
      <c r="E7" s="85"/>
      <c r="F7" s="85"/>
      <c r="G7" s="85"/>
      <c r="H7" s="85"/>
      <c r="I7" s="86" t="s">
        <v>335</v>
      </c>
      <c r="J7" s="85"/>
      <c r="K7" s="85"/>
      <c r="L7" s="85"/>
      <c r="M7" s="85"/>
      <c r="N7" s="85"/>
      <c r="O7" s="85"/>
      <c r="P7" s="85"/>
    </row>
    <row r="8" spans="1:256" x14ac:dyDescent="0.2">
      <c r="A8" s="84"/>
      <c r="B8" s="84"/>
      <c r="C8" s="85"/>
      <c r="D8" s="85"/>
      <c r="E8" s="85"/>
      <c r="F8" s="85"/>
      <c r="G8" s="85"/>
      <c r="H8" s="85"/>
      <c r="I8" s="86" t="s">
        <v>336</v>
      </c>
      <c r="J8" s="85"/>
      <c r="K8" s="85"/>
      <c r="L8" s="85"/>
      <c r="M8" s="86" t="s">
        <v>337</v>
      </c>
      <c r="N8" s="85"/>
      <c r="O8" s="86" t="s">
        <v>140</v>
      </c>
      <c r="P8" s="85"/>
    </row>
    <row r="9" spans="1:256" x14ac:dyDescent="0.2">
      <c r="A9" s="84"/>
      <c r="B9" s="84"/>
      <c r="C9" s="83" t="s">
        <v>338</v>
      </c>
      <c r="D9" s="83"/>
      <c r="E9" s="83"/>
      <c r="F9" s="83"/>
      <c r="G9" s="83"/>
      <c r="H9" s="85"/>
      <c r="I9" s="86" t="s">
        <v>339</v>
      </c>
      <c r="J9" s="85"/>
      <c r="K9" s="86" t="s">
        <v>340</v>
      </c>
      <c r="L9" s="85"/>
      <c r="M9" s="86" t="s">
        <v>34</v>
      </c>
      <c r="N9" s="85"/>
      <c r="O9" s="86" t="s">
        <v>142</v>
      </c>
      <c r="P9" s="85"/>
    </row>
    <row r="10" spans="1:256" x14ac:dyDescent="0.2">
      <c r="A10" s="84"/>
      <c r="B10" s="84"/>
      <c r="C10" s="87" t="s">
        <v>143</v>
      </c>
      <c r="D10" s="87"/>
      <c r="E10" s="87"/>
      <c r="F10" s="87"/>
      <c r="G10" s="87"/>
      <c r="H10" s="85"/>
      <c r="I10" s="88" t="s">
        <v>163</v>
      </c>
      <c r="J10" s="86"/>
      <c r="K10" s="88" t="s">
        <v>145</v>
      </c>
      <c r="L10" s="85"/>
      <c r="M10" s="88" t="s">
        <v>176</v>
      </c>
      <c r="N10" s="85"/>
      <c r="O10" s="88" t="s">
        <v>177</v>
      </c>
      <c r="P10" s="85"/>
    </row>
    <row r="11" spans="1:256" ht="16.149999999999999" customHeight="1" x14ac:dyDescent="0.2">
      <c r="A11" s="84"/>
      <c r="B11" s="84"/>
      <c r="C11" s="85"/>
      <c r="D11" s="85"/>
      <c r="E11" s="85"/>
      <c r="F11" s="85"/>
      <c r="G11" s="85"/>
      <c r="H11" s="85"/>
      <c r="I11" s="85"/>
      <c r="J11" s="85"/>
      <c r="K11" s="85"/>
      <c r="L11" s="85"/>
      <c r="M11" s="85"/>
      <c r="N11" s="85"/>
      <c r="O11" s="85"/>
      <c r="P11" s="85"/>
    </row>
    <row r="12" spans="1:256" x14ac:dyDescent="0.2">
      <c r="A12" s="84"/>
      <c r="B12" s="84"/>
      <c r="C12" s="89" t="s">
        <v>341</v>
      </c>
      <c r="D12" s="85"/>
      <c r="E12" s="85"/>
      <c r="F12" s="85"/>
      <c r="G12" s="85"/>
      <c r="H12" s="85"/>
      <c r="I12" s="85"/>
      <c r="J12" s="85"/>
      <c r="K12" s="85"/>
      <c r="L12" s="85"/>
      <c r="M12" s="85"/>
      <c r="N12" s="85"/>
      <c r="O12" s="85"/>
      <c r="P12" s="260"/>
      <c r="Q12" s="256"/>
    </row>
    <row r="13" spans="1:256" ht="13.9" customHeight="1" x14ac:dyDescent="0.2">
      <c r="A13" s="84"/>
      <c r="B13" s="84"/>
      <c r="C13" s="89"/>
      <c r="D13" s="85"/>
      <c r="E13" s="85"/>
      <c r="F13" s="85"/>
      <c r="G13" s="85"/>
      <c r="H13" s="85"/>
      <c r="I13" s="85"/>
      <c r="J13" s="85"/>
      <c r="K13" s="260"/>
      <c r="L13" s="260"/>
      <c r="M13" s="260"/>
      <c r="N13" s="260"/>
      <c r="O13" s="260"/>
      <c r="P13" s="260"/>
      <c r="Q13" s="256"/>
    </row>
    <row r="14" spans="1:256" x14ac:dyDescent="0.2">
      <c r="A14" s="84"/>
      <c r="B14" s="84"/>
      <c r="C14" s="729" t="s">
        <v>342</v>
      </c>
      <c r="D14" s="729"/>
      <c r="E14" s="729"/>
      <c r="F14" s="85"/>
      <c r="G14" s="85"/>
      <c r="H14" s="85"/>
      <c r="I14" s="77"/>
      <c r="J14" s="85"/>
      <c r="K14" s="260"/>
      <c r="L14" s="260"/>
      <c r="M14" s="260"/>
      <c r="N14" s="260"/>
      <c r="O14" s="260"/>
      <c r="P14" s="260"/>
      <c r="Q14" s="256"/>
    </row>
    <row r="15" spans="1:256" x14ac:dyDescent="0.2">
      <c r="A15" s="84"/>
      <c r="B15" s="84"/>
      <c r="C15" s="419">
        <v>2</v>
      </c>
      <c r="D15" s="420" t="s">
        <v>343</v>
      </c>
      <c r="E15" s="420"/>
      <c r="F15" s="421"/>
      <c r="G15" s="421"/>
      <c r="H15" s="421"/>
      <c r="I15" s="422">
        <f>+C15^2</f>
        <v>4</v>
      </c>
      <c r="J15" s="421"/>
      <c r="K15" s="576">
        <v>75</v>
      </c>
      <c r="L15" s="488"/>
      <c r="M15" s="577">
        <f>ROUND((+I15*K15*1.5),0)</f>
        <v>450</v>
      </c>
      <c r="N15" s="488"/>
      <c r="O15" s="488"/>
      <c r="P15" s="447"/>
      <c r="Q15" s="256"/>
    </row>
    <row r="16" spans="1:256" x14ac:dyDescent="0.2">
      <c r="A16" s="84"/>
      <c r="B16" s="84"/>
      <c r="C16" s="423">
        <v>3</v>
      </c>
      <c r="D16" s="421" t="s">
        <v>343</v>
      </c>
      <c r="E16" s="421"/>
      <c r="F16" s="421"/>
      <c r="G16" s="421"/>
      <c r="H16" s="421"/>
      <c r="I16" s="422">
        <f t="shared" ref="I16:I23" si="0">+C16^2</f>
        <v>9</v>
      </c>
      <c r="J16" s="421"/>
      <c r="K16" s="576">
        <v>0</v>
      </c>
      <c r="L16" s="488"/>
      <c r="M16" s="577">
        <f t="shared" ref="M16:M23" si="1">ROUND((+I16*K16*1.5),0)</f>
        <v>0</v>
      </c>
      <c r="N16" s="488"/>
      <c r="O16" s="488"/>
      <c r="P16" s="447"/>
      <c r="Q16" s="256"/>
    </row>
    <row r="17" spans="1:22" x14ac:dyDescent="0.2">
      <c r="A17" s="84"/>
      <c r="B17" s="84"/>
      <c r="C17" s="423">
        <v>4</v>
      </c>
      <c r="D17" s="421" t="s">
        <v>343</v>
      </c>
      <c r="E17" s="421"/>
      <c r="F17" s="421"/>
      <c r="G17" s="421"/>
      <c r="H17" s="421"/>
      <c r="I17" s="422">
        <f t="shared" si="0"/>
        <v>16</v>
      </c>
      <c r="J17" s="421"/>
      <c r="K17" s="576">
        <v>479</v>
      </c>
      <c r="L17" s="488"/>
      <c r="M17" s="577">
        <f t="shared" si="1"/>
        <v>11496</v>
      </c>
      <c r="N17" s="488"/>
      <c r="O17" s="488"/>
      <c r="P17" s="447"/>
      <c r="Q17" s="256"/>
    </row>
    <row r="18" spans="1:22" x14ac:dyDescent="0.2">
      <c r="A18" s="84"/>
      <c r="B18" s="84"/>
      <c r="C18" s="423">
        <v>6</v>
      </c>
      <c r="D18" s="421" t="s">
        <v>343</v>
      </c>
      <c r="E18" s="421"/>
      <c r="F18" s="421"/>
      <c r="G18" s="421"/>
      <c r="H18" s="421"/>
      <c r="I18" s="422">
        <f t="shared" si="0"/>
        <v>36</v>
      </c>
      <c r="J18" s="421"/>
      <c r="K18" s="576">
        <v>968</v>
      </c>
      <c r="L18" s="488"/>
      <c r="M18" s="577">
        <f t="shared" si="1"/>
        <v>52272</v>
      </c>
      <c r="N18" s="488"/>
      <c r="O18" s="488"/>
      <c r="P18" s="447"/>
      <c r="Q18" s="256"/>
    </row>
    <row r="19" spans="1:22" x14ac:dyDescent="0.2">
      <c r="A19" s="84"/>
      <c r="B19" s="84"/>
      <c r="C19" s="423">
        <v>8</v>
      </c>
      <c r="D19" s="421" t="s">
        <v>343</v>
      </c>
      <c r="E19" s="421"/>
      <c r="F19" s="421"/>
      <c r="G19" s="421"/>
      <c r="H19" s="421"/>
      <c r="I19" s="422">
        <f t="shared" si="0"/>
        <v>64</v>
      </c>
      <c r="J19" s="421"/>
      <c r="K19" s="576">
        <v>320</v>
      </c>
      <c r="L19" s="488"/>
      <c r="M19" s="577">
        <f t="shared" si="1"/>
        <v>30720</v>
      </c>
      <c r="N19" s="488"/>
      <c r="O19" s="488"/>
      <c r="P19" s="447"/>
      <c r="Q19" s="256"/>
    </row>
    <row r="20" spans="1:22" x14ac:dyDescent="0.2">
      <c r="A20" s="84"/>
      <c r="B20" s="84"/>
      <c r="C20" s="423">
        <v>10</v>
      </c>
      <c r="D20" s="421" t="s">
        <v>343</v>
      </c>
      <c r="E20" s="421"/>
      <c r="F20" s="421"/>
      <c r="G20" s="421"/>
      <c r="H20" s="421"/>
      <c r="I20" s="422">
        <f t="shared" si="0"/>
        <v>100</v>
      </c>
      <c r="J20" s="421"/>
      <c r="K20" s="576">
        <v>13</v>
      </c>
      <c r="L20" s="488"/>
      <c r="M20" s="577">
        <f t="shared" si="1"/>
        <v>1950</v>
      </c>
      <c r="N20" s="488"/>
      <c r="O20" s="488"/>
      <c r="P20" s="447"/>
      <c r="Q20" s="256"/>
    </row>
    <row r="21" spans="1:22" x14ac:dyDescent="0.2">
      <c r="A21" s="84"/>
      <c r="B21" s="84"/>
      <c r="C21" s="423">
        <v>12</v>
      </c>
      <c r="D21" s="421" t="s">
        <v>343</v>
      </c>
      <c r="E21" s="421"/>
      <c r="F21" s="421"/>
      <c r="G21" s="421"/>
      <c r="H21" s="421"/>
      <c r="I21" s="422">
        <f t="shared" si="0"/>
        <v>144</v>
      </c>
      <c r="J21" s="421"/>
      <c r="K21" s="576">
        <v>6</v>
      </c>
      <c r="L21" s="488"/>
      <c r="M21" s="577">
        <f t="shared" si="1"/>
        <v>1296</v>
      </c>
      <c r="N21" s="488"/>
      <c r="O21" s="488"/>
      <c r="P21" s="447"/>
      <c r="Q21" s="256"/>
    </row>
    <row r="22" spans="1:22" x14ac:dyDescent="0.2">
      <c r="A22" s="84"/>
      <c r="B22" s="84"/>
      <c r="C22" s="423">
        <v>14</v>
      </c>
      <c r="D22" s="421" t="s">
        <v>343</v>
      </c>
      <c r="E22" s="421"/>
      <c r="F22" s="421"/>
      <c r="G22" s="421"/>
      <c r="H22" s="421"/>
      <c r="I22" s="422">
        <f t="shared" si="0"/>
        <v>196</v>
      </c>
      <c r="J22" s="421"/>
      <c r="K22" s="576">
        <v>0</v>
      </c>
      <c r="L22" s="488"/>
      <c r="M22" s="577">
        <f t="shared" si="1"/>
        <v>0</v>
      </c>
      <c r="N22" s="488"/>
      <c r="O22" s="488"/>
      <c r="P22" s="447"/>
      <c r="Q22" s="256"/>
    </row>
    <row r="23" spans="1:22" x14ac:dyDescent="0.2">
      <c r="A23" s="84"/>
      <c r="B23" s="84"/>
      <c r="C23" s="423">
        <v>16</v>
      </c>
      <c r="D23" s="421" t="s">
        <v>343</v>
      </c>
      <c r="E23" s="421"/>
      <c r="F23" s="421"/>
      <c r="G23" s="421"/>
      <c r="H23" s="421"/>
      <c r="I23" s="422">
        <f t="shared" si="0"/>
        <v>256</v>
      </c>
      <c r="J23" s="421"/>
      <c r="K23" s="576">
        <v>1</v>
      </c>
      <c r="L23" s="488"/>
      <c r="M23" s="577">
        <f t="shared" si="1"/>
        <v>384</v>
      </c>
      <c r="N23" s="488"/>
      <c r="O23" s="488"/>
      <c r="P23" s="447"/>
      <c r="Q23" s="256"/>
    </row>
    <row r="24" spans="1:22" ht="13.5" customHeight="1" x14ac:dyDescent="0.2">
      <c r="A24" s="84"/>
      <c r="B24" s="84"/>
      <c r="C24" s="730" t="s">
        <v>126</v>
      </c>
      <c r="D24" s="730"/>
      <c r="E24" s="730"/>
      <c r="F24" s="421"/>
      <c r="G24" s="421"/>
      <c r="H24" s="421"/>
      <c r="I24" s="424">
        <v>27.6</v>
      </c>
      <c r="J24" s="421"/>
      <c r="K24" s="578">
        <v>1240</v>
      </c>
      <c r="L24" s="488"/>
      <c r="M24" s="579">
        <f>ROUND((+I24*K24*1.5),0)</f>
        <v>51336</v>
      </c>
      <c r="N24" s="488"/>
      <c r="O24" s="488"/>
      <c r="P24" s="447"/>
      <c r="Q24" s="256"/>
    </row>
    <row r="25" spans="1:22" x14ac:dyDescent="0.2">
      <c r="A25" s="84"/>
      <c r="B25" s="84"/>
      <c r="C25" s="421"/>
      <c r="D25" s="421"/>
      <c r="E25" s="421"/>
      <c r="F25" s="421"/>
      <c r="G25" s="421"/>
      <c r="H25" s="421"/>
      <c r="I25" s="422"/>
      <c r="J25" s="421"/>
      <c r="K25" s="577"/>
      <c r="L25" s="488"/>
      <c r="M25" s="577"/>
      <c r="N25" s="488"/>
      <c r="O25" s="488"/>
      <c r="P25" s="447"/>
      <c r="Q25" s="256"/>
    </row>
    <row r="26" spans="1:22" ht="13.5" thickBot="1" x14ac:dyDescent="0.25">
      <c r="A26" s="84"/>
      <c r="B26" s="84"/>
      <c r="C26" s="421" t="s">
        <v>344</v>
      </c>
      <c r="D26" s="421"/>
      <c r="E26" s="421"/>
      <c r="F26" s="421"/>
      <c r="G26" s="421"/>
      <c r="H26" s="421"/>
      <c r="I26" s="422"/>
      <c r="J26" s="421"/>
      <c r="K26" s="580">
        <f>SUM(K15:K24)</f>
        <v>3102</v>
      </c>
      <c r="L26" s="488"/>
      <c r="M26" s="493">
        <f>SUM(M15:M24)</f>
        <v>149904</v>
      </c>
      <c r="N26" s="488"/>
      <c r="O26" s="581">
        <f>ROUND(+M26/M$35,4)</f>
        <v>0.48309999999999997</v>
      </c>
      <c r="P26" s="445"/>
      <c r="Q26" s="67"/>
      <c r="V26" s="243"/>
    </row>
    <row r="27" spans="1:22" ht="13.5" thickTop="1" x14ac:dyDescent="0.2">
      <c r="A27" s="84"/>
      <c r="B27" s="84"/>
      <c r="C27" s="421"/>
      <c r="D27" s="421"/>
      <c r="E27" s="421"/>
      <c r="F27" s="421"/>
      <c r="G27" s="421"/>
      <c r="H27" s="421"/>
      <c r="I27" s="422"/>
      <c r="J27" s="421"/>
      <c r="K27" s="489"/>
      <c r="L27" s="488"/>
      <c r="M27" s="489"/>
      <c r="N27" s="488"/>
      <c r="O27" s="492"/>
      <c r="P27" s="445"/>
      <c r="Q27" s="256"/>
      <c r="V27" s="243"/>
    </row>
    <row r="28" spans="1:22" x14ac:dyDescent="0.2">
      <c r="A28" s="84"/>
      <c r="B28" s="84"/>
      <c r="C28" s="421"/>
      <c r="D28" s="421"/>
      <c r="E28" s="421"/>
      <c r="F28" s="421"/>
      <c r="G28" s="421"/>
      <c r="H28" s="421"/>
      <c r="I28" s="422"/>
      <c r="J28" s="421"/>
      <c r="K28" s="489"/>
      <c r="L28" s="488"/>
      <c r="M28" s="489"/>
      <c r="N28" s="488"/>
      <c r="O28" s="488"/>
      <c r="P28" s="445"/>
      <c r="Q28" s="256"/>
      <c r="V28" s="259"/>
    </row>
    <row r="29" spans="1:22" x14ac:dyDescent="0.2">
      <c r="A29" s="84"/>
      <c r="B29" s="84"/>
      <c r="C29" s="425" t="s">
        <v>345</v>
      </c>
      <c r="D29" s="421"/>
      <c r="E29" s="421"/>
      <c r="F29" s="421"/>
      <c r="G29" s="421"/>
      <c r="H29" s="421"/>
      <c r="I29" s="422"/>
      <c r="J29" s="488"/>
      <c r="K29" s="489"/>
      <c r="L29" s="488"/>
      <c r="M29" s="489"/>
      <c r="N29" s="488"/>
      <c r="O29" s="488"/>
      <c r="P29" s="451"/>
      <c r="Q29" s="256"/>
      <c r="V29" s="243"/>
    </row>
    <row r="30" spans="1:22" x14ac:dyDescent="0.2">
      <c r="A30" s="84"/>
      <c r="B30" s="84"/>
      <c r="C30" s="426" t="s">
        <v>37</v>
      </c>
      <c r="D30" s="426"/>
      <c r="E30" s="421"/>
      <c r="F30" s="421"/>
      <c r="G30" s="421"/>
      <c r="H30" s="421"/>
      <c r="I30" s="422">
        <v>20.3</v>
      </c>
      <c r="J30" s="488"/>
      <c r="K30" s="490">
        <v>6542</v>
      </c>
      <c r="L30" s="488"/>
      <c r="M30" s="489">
        <f>+I30*K30</f>
        <v>132802.6</v>
      </c>
      <c r="N30" s="488"/>
      <c r="O30" s="488"/>
      <c r="P30" s="450"/>
      <c r="Q30" s="256"/>
      <c r="V30" s="243"/>
    </row>
    <row r="31" spans="1:22" x14ac:dyDescent="0.2">
      <c r="A31" s="84"/>
      <c r="B31" s="84"/>
      <c r="C31" s="426" t="s">
        <v>38</v>
      </c>
      <c r="D31" s="426"/>
      <c r="E31" s="427"/>
      <c r="F31" s="428"/>
      <c r="G31" s="429"/>
      <c r="H31" s="421"/>
      <c r="I31" s="422">
        <v>27.6</v>
      </c>
      <c r="J31" s="488"/>
      <c r="K31" s="489">
        <v>1000</v>
      </c>
      <c r="L31" s="488"/>
      <c r="M31" s="489">
        <f>+I31*K31</f>
        <v>27600</v>
      </c>
      <c r="N31" s="488"/>
      <c r="O31" s="488"/>
      <c r="P31" s="450"/>
    </row>
    <row r="32" spans="1:22" x14ac:dyDescent="0.2">
      <c r="A32" s="84"/>
      <c r="B32" s="84"/>
      <c r="C32" s="427"/>
      <c r="D32" s="421"/>
      <c r="E32" s="421"/>
      <c r="F32" s="421"/>
      <c r="G32" s="421"/>
      <c r="H32" s="421"/>
      <c r="I32" s="422"/>
      <c r="J32" s="488"/>
      <c r="K32" s="491"/>
      <c r="L32" s="488"/>
      <c r="M32" s="491"/>
      <c r="N32" s="488"/>
      <c r="O32" s="488"/>
      <c r="P32" s="450"/>
    </row>
    <row r="33" spans="1:16" x14ac:dyDescent="0.2">
      <c r="A33" s="84"/>
      <c r="B33" s="84"/>
      <c r="C33" s="427" t="s">
        <v>125</v>
      </c>
      <c r="D33" s="421"/>
      <c r="E33" s="421"/>
      <c r="F33" s="421"/>
      <c r="G33" s="421"/>
      <c r="H33" s="421"/>
      <c r="I33" s="421"/>
      <c r="J33" s="488"/>
      <c r="K33" s="489">
        <f>SUM(K30:K32)</f>
        <v>7542</v>
      </c>
      <c r="L33" s="488"/>
      <c r="M33" s="489">
        <f>SUM(M30:M32)</f>
        <v>160402.6</v>
      </c>
      <c r="N33" s="488"/>
      <c r="O33" s="492">
        <f>ROUND(+M33/M$35,4)</f>
        <v>0.51690000000000003</v>
      </c>
      <c r="P33" s="450"/>
    </row>
    <row r="34" spans="1:16" x14ac:dyDescent="0.2">
      <c r="A34" s="84"/>
      <c r="B34" s="84"/>
      <c r="C34" s="421"/>
      <c r="D34" s="421"/>
      <c r="E34" s="421"/>
      <c r="F34" s="421"/>
      <c r="G34" s="421"/>
      <c r="H34" s="421"/>
      <c r="I34" s="421"/>
      <c r="J34" s="488"/>
      <c r="K34" s="491"/>
      <c r="L34" s="488"/>
      <c r="M34" s="491"/>
      <c r="N34" s="488"/>
      <c r="O34" s="491"/>
      <c r="P34" s="450"/>
    </row>
    <row r="35" spans="1:16" ht="13.5" thickBot="1" x14ac:dyDescent="0.25">
      <c r="A35" s="84"/>
      <c r="B35" s="84"/>
      <c r="C35" s="421" t="s">
        <v>346</v>
      </c>
      <c r="D35" s="421"/>
      <c r="E35" s="421"/>
      <c r="F35" s="421"/>
      <c r="G35" s="421"/>
      <c r="H35" s="421"/>
      <c r="I35" s="421"/>
      <c r="J35" s="488"/>
      <c r="K35" s="493">
        <f>K26+K33</f>
        <v>10644</v>
      </c>
      <c r="L35" s="488"/>
      <c r="M35" s="493">
        <f>M26+M33</f>
        <v>310306.59999999998</v>
      </c>
      <c r="N35" s="492"/>
      <c r="O35" s="494">
        <f>O26+O33</f>
        <v>1</v>
      </c>
      <c r="P35" s="450"/>
    </row>
    <row r="36" spans="1:16" ht="13.5" thickTop="1" x14ac:dyDescent="0.2">
      <c r="C36" s="427"/>
      <c r="D36" s="427"/>
      <c r="E36" s="427"/>
      <c r="F36" s="427"/>
      <c r="G36" s="427"/>
      <c r="H36" s="427"/>
      <c r="I36" s="427"/>
      <c r="J36" s="427"/>
      <c r="K36" s="427"/>
      <c r="L36" s="427"/>
      <c r="M36" s="427"/>
      <c r="N36" s="427"/>
      <c r="O36" s="427"/>
      <c r="P36" s="427"/>
    </row>
    <row r="37" spans="1:16" x14ac:dyDescent="0.2">
      <c r="C37" s="430"/>
      <c r="D37" s="430"/>
      <c r="E37" s="430"/>
      <c r="F37" s="430"/>
      <c r="G37" s="430"/>
      <c r="H37" s="427"/>
      <c r="I37" s="427"/>
      <c r="J37" s="427"/>
      <c r="K37" s="427"/>
      <c r="L37" s="427"/>
      <c r="M37" s="427"/>
      <c r="N37" s="427"/>
      <c r="O37" s="427"/>
      <c r="P37" s="427"/>
    </row>
    <row r="38" spans="1:16" x14ac:dyDescent="0.2">
      <c r="C38" s="427" t="s">
        <v>35</v>
      </c>
      <c r="D38" s="427"/>
      <c r="E38" s="427"/>
      <c r="F38" s="427"/>
      <c r="G38" s="427"/>
      <c r="H38" s="427"/>
      <c r="I38" s="427"/>
      <c r="J38" s="427"/>
      <c r="K38" s="427"/>
      <c r="L38" s="427"/>
      <c r="M38" s="427"/>
      <c r="N38" s="427"/>
      <c r="O38" s="427"/>
      <c r="P38" s="427"/>
    </row>
    <row r="39" spans="1:16" x14ac:dyDescent="0.2">
      <c r="C39" s="427" t="s">
        <v>36</v>
      </c>
      <c r="D39" s="427"/>
      <c r="E39" s="427"/>
      <c r="F39" s="427"/>
      <c r="G39" s="427"/>
      <c r="H39" s="427"/>
      <c r="I39" s="427"/>
      <c r="J39" s="427"/>
      <c r="K39" s="427"/>
      <c r="L39" s="427"/>
      <c r="M39" s="427"/>
      <c r="N39" s="427"/>
      <c r="O39" s="427"/>
      <c r="P39" s="427"/>
    </row>
    <row r="40" spans="1:16" x14ac:dyDescent="0.2">
      <c r="C40" s="427"/>
      <c r="D40" s="427"/>
      <c r="E40" s="427"/>
      <c r="F40" s="427"/>
      <c r="G40" s="427"/>
      <c r="H40" s="427"/>
      <c r="I40" s="427"/>
      <c r="J40" s="427"/>
      <c r="K40" s="427"/>
      <c r="L40" s="427"/>
      <c r="M40" s="427"/>
      <c r="N40" s="427"/>
      <c r="O40" s="427"/>
      <c r="P40" s="427"/>
    </row>
    <row r="41" spans="1:16" x14ac:dyDescent="0.2">
      <c r="C41" s="427"/>
      <c r="D41" s="427"/>
      <c r="E41" s="427"/>
      <c r="F41" s="427"/>
      <c r="G41" s="427"/>
      <c r="H41" s="427"/>
      <c r="I41" s="427"/>
      <c r="J41" s="427"/>
      <c r="K41" s="427"/>
      <c r="L41" s="427"/>
      <c r="M41" s="427"/>
      <c r="N41" s="427"/>
      <c r="O41" s="427"/>
      <c r="P41" s="427"/>
    </row>
    <row r="42" spans="1:16" x14ac:dyDescent="0.2">
      <c r="C42" s="427"/>
      <c r="D42" s="427"/>
      <c r="E42" s="427"/>
      <c r="F42" s="427"/>
      <c r="G42" s="427"/>
      <c r="H42" s="427"/>
      <c r="I42" s="427"/>
      <c r="J42" s="427"/>
      <c r="K42" s="427"/>
      <c r="L42" s="427"/>
      <c r="M42" s="427"/>
      <c r="N42" s="427"/>
      <c r="O42" s="427"/>
      <c r="P42" s="427"/>
    </row>
    <row r="43" spans="1:16" x14ac:dyDescent="0.2">
      <c r="C43" s="427"/>
      <c r="D43" s="427"/>
      <c r="E43" s="427"/>
      <c r="F43" s="427"/>
      <c r="G43" s="427"/>
      <c r="H43" s="427"/>
      <c r="I43" s="427"/>
      <c r="J43" s="427"/>
      <c r="K43" s="427"/>
      <c r="L43" s="427"/>
      <c r="M43" s="427"/>
      <c r="N43" s="427"/>
      <c r="O43" s="427"/>
      <c r="P43" s="427"/>
    </row>
    <row r="44" spans="1:16" x14ac:dyDescent="0.2">
      <c r="C44" s="427"/>
      <c r="D44" s="427"/>
      <c r="E44" s="427"/>
      <c r="F44" s="427"/>
      <c r="G44" s="427"/>
      <c r="H44" s="427"/>
      <c r="I44" s="427"/>
      <c r="J44" s="427"/>
      <c r="K44" s="427"/>
      <c r="L44" s="427"/>
      <c r="M44" s="427"/>
      <c r="N44" s="427"/>
      <c r="O44" s="427"/>
      <c r="P44" s="427"/>
    </row>
    <row r="45" spans="1:16" x14ac:dyDescent="0.2">
      <c r="C45" s="427"/>
      <c r="D45" s="427"/>
      <c r="E45" s="427"/>
      <c r="F45" s="427"/>
      <c r="G45" s="427"/>
      <c r="H45" s="427"/>
      <c r="I45" s="427"/>
      <c r="J45" s="427"/>
      <c r="K45" s="427"/>
      <c r="L45" s="427"/>
      <c r="M45" s="427"/>
      <c r="N45" s="427"/>
      <c r="O45" s="427"/>
      <c r="P45" s="427"/>
    </row>
    <row r="46" spans="1:16" x14ac:dyDescent="0.2">
      <c r="C46" s="427"/>
      <c r="D46" s="427"/>
      <c r="E46" s="427"/>
      <c r="F46" s="427"/>
      <c r="G46" s="427"/>
      <c r="H46" s="427"/>
      <c r="I46" s="427"/>
      <c r="J46" s="427"/>
      <c r="K46" s="427"/>
      <c r="L46" s="427"/>
      <c r="M46" s="427"/>
      <c r="N46" s="427"/>
      <c r="O46" s="427"/>
      <c r="P46" s="427"/>
    </row>
    <row r="47" spans="1:16" x14ac:dyDescent="0.2">
      <c r="C47" s="427"/>
      <c r="D47" s="427"/>
      <c r="E47" s="427"/>
      <c r="F47" s="427"/>
      <c r="G47" s="427"/>
      <c r="H47" s="427"/>
      <c r="I47" s="427"/>
      <c r="J47" s="427"/>
      <c r="K47" s="427"/>
      <c r="L47" s="427"/>
      <c r="M47" s="427"/>
      <c r="N47" s="427"/>
      <c r="O47" s="427"/>
      <c r="P47" s="427"/>
    </row>
    <row r="48" spans="1:16" x14ac:dyDescent="0.2">
      <c r="C48" s="427"/>
      <c r="D48" s="427"/>
      <c r="E48" s="427"/>
      <c r="F48" s="427"/>
      <c r="G48" s="427"/>
      <c r="H48" s="427"/>
      <c r="I48" s="427"/>
      <c r="J48" s="427"/>
      <c r="K48" s="427"/>
      <c r="L48" s="427"/>
      <c r="M48" s="427"/>
      <c r="N48" s="427"/>
      <c r="O48" s="427"/>
      <c r="P48" s="427"/>
    </row>
    <row r="49" spans="3:16" x14ac:dyDescent="0.2">
      <c r="C49" s="427"/>
      <c r="D49" s="427"/>
      <c r="E49" s="427"/>
      <c r="F49" s="427"/>
      <c r="G49" s="427"/>
      <c r="H49" s="427"/>
      <c r="I49" s="427"/>
      <c r="J49" s="427"/>
      <c r="K49" s="427"/>
      <c r="L49" s="427"/>
      <c r="M49" s="427"/>
      <c r="N49" s="427"/>
      <c r="O49" s="427"/>
      <c r="P49" s="427"/>
    </row>
    <row r="50" spans="3:16" x14ac:dyDescent="0.2">
      <c r="C50" s="427"/>
      <c r="D50" s="427"/>
      <c r="E50" s="427"/>
      <c r="F50" s="427"/>
      <c r="G50" s="427"/>
      <c r="H50" s="427"/>
      <c r="I50" s="427"/>
      <c r="J50" s="427"/>
      <c r="K50" s="427"/>
      <c r="L50" s="427"/>
      <c r="M50" s="427"/>
      <c r="N50" s="427"/>
      <c r="O50" s="427"/>
      <c r="P50" s="427"/>
    </row>
  </sheetData>
  <mergeCells count="2">
    <mergeCell ref="C14:E14"/>
    <mergeCell ref="C24:E24"/>
  </mergeCells>
  <phoneticPr fontId="13" type="noConversion"/>
  <pageMargins left="1" right="0.75" top="1" bottom="1" header="0.5" footer="0.5"/>
  <pageSetup scale="99"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4:P26"/>
  <sheetViews>
    <sheetView workbookViewId="0">
      <selection activeCell="E49" sqref="E49"/>
    </sheetView>
  </sheetViews>
  <sheetFormatPr defaultRowHeight="12.75" x14ac:dyDescent="0.2"/>
  <cols>
    <col min="1" max="1" width="23" style="340" customWidth="1"/>
    <col min="2" max="2" width="1.5546875" style="340" customWidth="1"/>
    <col min="3" max="3" width="13.88671875" style="340" customWidth="1"/>
    <col min="4" max="4" width="1.21875" style="340" customWidth="1"/>
    <col min="5" max="5" width="8.88671875" style="340"/>
    <col min="6" max="6" width="1.88671875" style="340" customWidth="1"/>
    <col min="7" max="7" width="8.88671875" style="340"/>
    <col min="8" max="8" width="2.77734375" style="340" customWidth="1"/>
    <col min="9" max="9" width="11" style="340" customWidth="1"/>
    <col min="10" max="10" width="1.33203125" style="340" customWidth="1"/>
    <col min="11" max="11" width="11.44140625" style="340" customWidth="1"/>
    <col min="12" max="12" width="1.77734375" style="243" customWidth="1"/>
    <col min="13" max="13" width="8.88671875" style="243"/>
    <col min="14" max="14" width="1.88671875" style="243" customWidth="1"/>
    <col min="15" max="16384" width="8.88671875" style="243"/>
  </cols>
  <sheetData>
    <row r="4" spans="1:11" ht="15" x14ac:dyDescent="0.2">
      <c r="A4" s="701" t="s">
        <v>133</v>
      </c>
      <c r="B4" s="701"/>
      <c r="C4" s="701"/>
      <c r="D4" s="701"/>
      <c r="E4" s="701"/>
      <c r="F4" s="701"/>
      <c r="G4" s="701"/>
      <c r="H4" s="701"/>
      <c r="I4" s="701"/>
      <c r="J4" s="701"/>
      <c r="K4" s="701"/>
    </row>
    <row r="5" spans="1:11" ht="14.25" x14ac:dyDescent="0.2">
      <c r="A5" s="599"/>
      <c r="B5" s="599"/>
      <c r="C5" s="599"/>
      <c r="D5" s="599"/>
      <c r="E5" s="599"/>
      <c r="F5" s="599"/>
      <c r="G5" s="599"/>
      <c r="H5" s="599"/>
      <c r="I5" s="599"/>
      <c r="J5" s="599"/>
      <c r="K5" s="599"/>
    </row>
    <row r="6" spans="1:11" ht="15" x14ac:dyDescent="0.2">
      <c r="A6" s="701" t="s">
        <v>399</v>
      </c>
      <c r="B6" s="701"/>
      <c r="C6" s="701"/>
      <c r="D6" s="701"/>
      <c r="E6" s="701"/>
      <c r="F6" s="701"/>
      <c r="G6" s="701"/>
      <c r="H6" s="701"/>
      <c r="I6" s="701"/>
      <c r="J6" s="701"/>
      <c r="K6" s="701"/>
    </row>
    <row r="7" spans="1:11" ht="14.25" x14ac:dyDescent="0.2">
      <c r="A7" s="599"/>
      <c r="B7" s="599"/>
      <c r="C7" s="599"/>
      <c r="D7" s="599"/>
      <c r="E7" s="599"/>
      <c r="F7" s="599"/>
      <c r="G7" s="599"/>
      <c r="H7" s="599"/>
      <c r="I7" s="599"/>
      <c r="J7" s="599"/>
      <c r="K7" s="599"/>
    </row>
    <row r="8" spans="1:11" ht="14.25" x14ac:dyDescent="0.2">
      <c r="A8" s="599"/>
      <c r="B8" s="599"/>
      <c r="C8" s="599"/>
      <c r="D8" s="599"/>
      <c r="E8" s="599"/>
      <c r="F8" s="599"/>
      <c r="G8" s="599"/>
      <c r="H8" s="599"/>
      <c r="I8" s="599"/>
      <c r="J8" s="599"/>
      <c r="K8" s="599"/>
    </row>
    <row r="9" spans="1:11" ht="14.25" x14ac:dyDescent="0.2">
      <c r="A9" s="599"/>
      <c r="B9" s="599"/>
      <c r="C9" s="539"/>
      <c r="D9" s="599"/>
      <c r="E9" s="599"/>
      <c r="F9" s="599"/>
      <c r="G9" s="599"/>
      <c r="H9" s="599"/>
      <c r="I9" s="599"/>
      <c r="J9" s="599"/>
      <c r="K9" s="599"/>
    </row>
    <row r="10" spans="1:11" ht="14.25" x14ac:dyDescent="0.2">
      <c r="A10" s="599"/>
      <c r="B10" s="599"/>
      <c r="C10" s="543" t="s">
        <v>89</v>
      </c>
      <c r="D10" s="599"/>
      <c r="E10" s="543" t="s">
        <v>400</v>
      </c>
      <c r="F10" s="599"/>
      <c r="G10" s="599"/>
      <c r="H10" s="599"/>
      <c r="I10" s="599"/>
      <c r="J10" s="599"/>
      <c r="K10" s="543" t="s">
        <v>401</v>
      </c>
    </row>
    <row r="11" spans="1:11" ht="14.25" x14ac:dyDescent="0.2">
      <c r="A11" s="600" t="s">
        <v>402</v>
      </c>
      <c r="B11" s="599"/>
      <c r="C11" s="600" t="s">
        <v>271</v>
      </c>
      <c r="D11" s="599"/>
      <c r="E11" s="600" t="s">
        <v>403</v>
      </c>
      <c r="F11" s="599"/>
      <c r="G11" s="731" t="s">
        <v>338</v>
      </c>
      <c r="H11" s="731"/>
      <c r="I11" s="731"/>
      <c r="J11" s="599"/>
      <c r="K11" s="600" t="s">
        <v>404</v>
      </c>
    </row>
    <row r="12" spans="1:11" ht="14.25" x14ac:dyDescent="0.2">
      <c r="A12" s="601" t="s">
        <v>143</v>
      </c>
      <c r="B12" s="602"/>
      <c r="C12" s="601" t="s">
        <v>163</v>
      </c>
      <c r="D12" s="602"/>
      <c r="E12" s="601" t="s">
        <v>145</v>
      </c>
      <c r="F12" s="599"/>
      <c r="G12" s="732" t="s">
        <v>165</v>
      </c>
      <c r="H12" s="732"/>
      <c r="I12" s="732"/>
      <c r="J12" s="599"/>
      <c r="K12" s="601" t="s">
        <v>177</v>
      </c>
    </row>
    <row r="13" spans="1:11" ht="14.25" x14ac:dyDescent="0.2">
      <c r="A13" s="599"/>
      <c r="B13" s="599"/>
      <c r="C13" s="599"/>
      <c r="D13" s="599"/>
      <c r="E13" s="599"/>
      <c r="F13" s="599"/>
      <c r="G13" s="599"/>
      <c r="H13" s="599"/>
      <c r="I13" s="599"/>
      <c r="J13" s="599"/>
      <c r="K13" s="599"/>
    </row>
    <row r="14" spans="1:11" ht="14.25" x14ac:dyDescent="0.2">
      <c r="A14" s="599" t="s">
        <v>325</v>
      </c>
      <c r="B14" s="599"/>
      <c r="C14" s="603">
        <f>+'Sch B COS'!AO270</f>
        <v>11874382.793540584</v>
      </c>
      <c r="D14" s="599"/>
      <c r="E14" s="599">
        <f>+'F8-10'!D34-'F8-10'!D32</f>
        <v>147086</v>
      </c>
      <c r="F14" s="599"/>
      <c r="G14" s="604" t="s">
        <v>405</v>
      </c>
      <c r="H14" s="605"/>
      <c r="I14" s="599"/>
      <c r="J14" s="599"/>
      <c r="K14" s="606">
        <f>ROUND(+C14/E14/12,2)</f>
        <v>6.73</v>
      </c>
    </row>
    <row r="15" spans="1:11" ht="14.25" x14ac:dyDescent="0.2">
      <c r="A15" s="599"/>
      <c r="B15" s="599"/>
      <c r="C15" s="599"/>
      <c r="D15" s="599"/>
      <c r="E15" s="599"/>
      <c r="F15" s="599"/>
      <c r="G15" s="604"/>
      <c r="H15" s="605"/>
      <c r="I15" s="599"/>
      <c r="J15" s="599"/>
      <c r="K15" s="606"/>
    </row>
    <row r="16" spans="1:11" ht="14.25" x14ac:dyDescent="0.2">
      <c r="A16" s="599" t="s">
        <v>275</v>
      </c>
      <c r="B16" s="599"/>
      <c r="C16" s="602">
        <f>+'Sch B COS'!AQ270</f>
        <v>2870612.5776710268</v>
      </c>
      <c r="D16" s="599"/>
      <c r="E16" s="599">
        <f>+'F8-10'!D55-'F8-10'!D53</f>
        <v>142642</v>
      </c>
      <c r="F16" s="599"/>
      <c r="G16" s="604" t="s">
        <v>406</v>
      </c>
      <c r="H16" s="605"/>
      <c r="I16" s="599"/>
      <c r="J16" s="599"/>
      <c r="K16" s="607">
        <f>ROUND(+C16/E16/12,2)</f>
        <v>1.68</v>
      </c>
    </row>
    <row r="17" spans="1:16" ht="14.25" x14ac:dyDescent="0.2">
      <c r="A17" s="599"/>
      <c r="B17" s="599"/>
      <c r="C17" s="602"/>
      <c r="D17" s="599"/>
      <c r="E17" s="599"/>
      <c r="F17" s="599"/>
      <c r="G17" s="599"/>
      <c r="H17" s="605"/>
      <c r="I17" s="599"/>
      <c r="J17" s="599"/>
      <c r="K17" s="607"/>
    </row>
    <row r="18" spans="1:16" ht="14.25" x14ac:dyDescent="0.2">
      <c r="A18" s="599" t="s">
        <v>407</v>
      </c>
      <c r="B18" s="599"/>
      <c r="C18" s="656">
        <f>+'Sch B COS'!AS270+'Sch B COS'!AU270</f>
        <v>8676457.3903038688</v>
      </c>
      <c r="D18" s="599"/>
      <c r="E18" s="599">
        <f>+'F13-14'!D21-'F13-14'!D19-'F13-14'!D18</f>
        <v>131646</v>
      </c>
      <c r="F18" s="599"/>
      <c r="G18" s="599" t="s">
        <v>408</v>
      </c>
      <c r="H18" s="605"/>
      <c r="I18" s="599"/>
      <c r="J18" s="599"/>
      <c r="K18" s="607">
        <f>ROUND(+C18/E18/12,2)</f>
        <v>5.49</v>
      </c>
    </row>
    <row r="19" spans="1:16" ht="14.25" x14ac:dyDescent="0.2">
      <c r="A19" s="599"/>
      <c r="B19" s="599"/>
      <c r="C19" s="608"/>
      <c r="D19" s="599"/>
      <c r="E19" s="599"/>
      <c r="F19" s="599"/>
      <c r="G19" s="599"/>
      <c r="H19" s="605"/>
      <c r="I19" s="599"/>
      <c r="J19" s="599"/>
      <c r="K19" s="609"/>
    </row>
    <row r="20" spans="1:16" ht="14.25" x14ac:dyDescent="0.2">
      <c r="A20" s="599" t="s">
        <v>613</v>
      </c>
      <c r="B20" s="599"/>
      <c r="C20" s="655">
        <f>+'SCH-A'!D30-'SCH-A'!L30</f>
        <v>398545.49538620934</v>
      </c>
      <c r="D20" s="599"/>
      <c r="E20" s="599">
        <f>+E14</f>
        <v>147086</v>
      </c>
      <c r="F20" s="599"/>
      <c r="G20" s="604" t="s">
        <v>405</v>
      </c>
      <c r="H20" s="605"/>
      <c r="I20" s="599"/>
      <c r="J20" s="599"/>
      <c r="K20" s="632">
        <f>ROUND(+C20/E20/12,2)</f>
        <v>0.23</v>
      </c>
    </row>
    <row r="21" spans="1:16" ht="14.25" x14ac:dyDescent="0.2">
      <c r="A21" s="599"/>
      <c r="B21" s="599"/>
      <c r="C21" s="655"/>
      <c r="D21" s="599"/>
      <c r="E21" s="599"/>
      <c r="F21" s="599"/>
      <c r="G21" s="604"/>
      <c r="H21" s="605"/>
      <c r="I21" s="599"/>
      <c r="J21" s="599"/>
      <c r="K21" s="632"/>
    </row>
    <row r="22" spans="1:16" ht="14.25" x14ac:dyDescent="0.2">
      <c r="A22" s="599" t="s">
        <v>688</v>
      </c>
      <c r="B22" s="599"/>
      <c r="C22" s="610">
        <v>8899394.0050374847</v>
      </c>
      <c r="D22" s="599"/>
      <c r="E22" s="599">
        <f>+E18</f>
        <v>131646</v>
      </c>
      <c r="F22" s="599"/>
      <c r="G22" s="599" t="s">
        <v>408</v>
      </c>
      <c r="H22" s="605"/>
      <c r="I22" s="599"/>
      <c r="J22" s="599"/>
      <c r="K22" s="657">
        <f>ROUND(+C22/E22/12,2)</f>
        <v>5.63</v>
      </c>
    </row>
    <row r="23" spans="1:16" ht="14.25" x14ac:dyDescent="0.2">
      <c r="A23" s="599"/>
      <c r="B23" s="599"/>
      <c r="C23" s="656"/>
      <c r="D23" s="599"/>
      <c r="E23" s="599"/>
      <c r="F23" s="599"/>
      <c r="G23" s="599"/>
      <c r="H23" s="599"/>
      <c r="I23" s="599"/>
      <c r="J23" s="599"/>
      <c r="K23" s="599"/>
    </row>
    <row r="24" spans="1:16" ht="15" thickBot="1" x14ac:dyDescent="0.25">
      <c r="A24" s="599" t="s">
        <v>409</v>
      </c>
      <c r="B24" s="599"/>
      <c r="C24" s="611">
        <f>SUM(C14:C20)</f>
        <v>23819998.256901689</v>
      </c>
      <c r="D24" s="599"/>
      <c r="E24" s="599"/>
      <c r="F24" s="599"/>
      <c r="G24" s="599"/>
      <c r="H24" s="599"/>
      <c r="I24" s="599"/>
      <c r="J24" s="599"/>
      <c r="K24" s="612">
        <f>SUM(K14:K22)</f>
        <v>19.760000000000002</v>
      </c>
      <c r="P24" s="660"/>
    </row>
    <row r="25" spans="1:16" ht="15" thickTop="1" x14ac:dyDescent="0.2">
      <c r="A25" s="599"/>
      <c r="B25" s="599"/>
      <c r="C25" s="599"/>
      <c r="D25" s="599"/>
      <c r="E25" s="599"/>
      <c r="F25" s="599"/>
      <c r="G25" s="599"/>
      <c r="H25" s="599"/>
      <c r="I25" s="599"/>
      <c r="J25" s="599"/>
      <c r="K25" s="599"/>
    </row>
    <row r="26" spans="1:16" ht="14.25" x14ac:dyDescent="0.2">
      <c r="A26" s="599"/>
      <c r="B26" s="599"/>
      <c r="C26" s="599"/>
      <c r="D26" s="599"/>
      <c r="E26" s="599"/>
      <c r="F26" s="599"/>
      <c r="G26" s="599"/>
      <c r="H26" s="599"/>
      <c r="I26" s="599"/>
      <c r="J26" s="599"/>
      <c r="K26" s="599"/>
    </row>
  </sheetData>
  <mergeCells count="4">
    <mergeCell ref="A4:K4"/>
    <mergeCell ref="A6:K6"/>
    <mergeCell ref="G11:I11"/>
    <mergeCell ref="G12:I12"/>
  </mergeCells>
  <phoneticPr fontId="13" type="noConversion"/>
  <pageMargins left="1" right="0.75" top="1" bottom="0.5" header="0.5" footer="0.5"/>
  <pageSetup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N119"/>
  <sheetViews>
    <sheetView topLeftCell="A85" workbookViewId="0">
      <selection activeCell="L125" sqref="L125"/>
    </sheetView>
  </sheetViews>
  <sheetFormatPr defaultRowHeight="15" x14ac:dyDescent="0.2"/>
  <cols>
    <col min="1" max="2" width="8.88671875" style="16"/>
    <col min="3" max="3" width="6" style="16" customWidth="1"/>
    <col min="4" max="4" width="15.5546875" style="16" customWidth="1"/>
    <col min="5" max="5" width="6" style="16" customWidth="1"/>
    <col min="6" max="6" width="10.33203125" style="16" bestFit="1" customWidth="1"/>
    <col min="7" max="7" width="1.33203125" style="16" customWidth="1"/>
    <col min="8" max="8" width="13.44140625" style="16" bestFit="1" customWidth="1"/>
    <col min="9" max="9" width="6.77734375" style="16" customWidth="1"/>
    <col min="10" max="10" width="15" style="16" bestFit="1" customWidth="1"/>
    <col min="11" max="11" width="2.44140625" style="16" customWidth="1"/>
    <col min="12" max="12" width="10" style="16" bestFit="1" customWidth="1"/>
    <col min="13" max="16384" width="8.88671875" style="16"/>
  </cols>
  <sheetData>
    <row r="3" spans="2:13" x14ac:dyDescent="0.2">
      <c r="B3" s="443"/>
    </row>
    <row r="7" spans="2:13" x14ac:dyDescent="0.2">
      <c r="C7" s="701" t="s">
        <v>133</v>
      </c>
      <c r="D7" s="701"/>
      <c r="E7" s="701"/>
      <c r="F7" s="701"/>
      <c r="G7" s="701"/>
      <c r="H7" s="701"/>
      <c r="I7" s="701"/>
      <c r="J7" s="701"/>
      <c r="K7" s="125"/>
      <c r="L7" s="125"/>
      <c r="M7" s="542"/>
    </row>
    <row r="9" spans="2:13" x14ac:dyDescent="0.2">
      <c r="C9" s="701" t="s">
        <v>388</v>
      </c>
      <c r="D9" s="701"/>
      <c r="E9" s="701"/>
      <c r="F9" s="701"/>
      <c r="G9" s="701"/>
      <c r="H9" s="701"/>
      <c r="I9" s="701"/>
      <c r="J9" s="701"/>
      <c r="K9" s="125"/>
      <c r="L9" s="125"/>
    </row>
    <row r="10" spans="2:13" x14ac:dyDescent="0.2">
      <c r="C10" s="707"/>
      <c r="D10" s="707"/>
      <c r="E10" s="707"/>
      <c r="F10" s="707"/>
      <c r="G10" s="707"/>
      <c r="H10" s="707"/>
      <c r="I10" s="707"/>
      <c r="J10" s="707"/>
      <c r="K10" s="707"/>
      <c r="L10" s="707"/>
    </row>
    <row r="11" spans="2:13" ht="15" customHeight="1" x14ac:dyDescent="0.2">
      <c r="C11" s="707" t="s">
        <v>669</v>
      </c>
      <c r="D11" s="707"/>
      <c r="E11" s="707"/>
      <c r="F11" s="707"/>
      <c r="G11" s="707"/>
      <c r="H11" s="707"/>
      <c r="I11" s="707"/>
      <c r="J11" s="707"/>
    </row>
    <row r="12" spans="2:13" x14ac:dyDescent="0.2">
      <c r="D12" s="538"/>
    </row>
    <row r="13" spans="2:13" x14ac:dyDescent="0.2">
      <c r="C13" s="415" t="s">
        <v>614</v>
      </c>
      <c r="D13" s="415"/>
      <c r="E13" s="415"/>
    </row>
    <row r="14" spans="2:13" ht="18.75" customHeight="1" x14ac:dyDescent="0.2"/>
    <row r="15" spans="2:13" x14ac:dyDescent="0.2">
      <c r="D15" s="538" t="s">
        <v>324</v>
      </c>
      <c r="F15" s="733" t="s">
        <v>667</v>
      </c>
      <c r="G15" s="733"/>
      <c r="H15" s="733"/>
      <c r="J15" s="538" t="s">
        <v>390</v>
      </c>
    </row>
    <row r="16" spans="2:13" x14ac:dyDescent="0.2">
      <c r="D16" s="123" t="s">
        <v>273</v>
      </c>
      <c r="F16" s="123" t="s">
        <v>146</v>
      </c>
      <c r="G16" s="617"/>
      <c r="H16" s="123" t="s">
        <v>668</v>
      </c>
      <c r="J16" s="123" t="s">
        <v>391</v>
      </c>
    </row>
    <row r="17" spans="3:14" ht="9.1999999999999993" customHeight="1" x14ac:dyDescent="0.2"/>
    <row r="18" spans="3:14" x14ac:dyDescent="0.2">
      <c r="D18" s="124" t="s">
        <v>326</v>
      </c>
      <c r="F18" s="663">
        <v>12.570621616265603</v>
      </c>
      <c r="G18" s="231"/>
      <c r="H18" s="663">
        <v>13.691035724794334</v>
      </c>
      <c r="I18" s="231"/>
      <c r="J18" s="231">
        <v>15</v>
      </c>
      <c r="M18" s="618"/>
      <c r="N18" s="618"/>
    </row>
    <row r="19" spans="3:14" x14ac:dyDescent="0.2">
      <c r="D19" s="124" t="s">
        <v>392</v>
      </c>
      <c r="F19" s="229">
        <v>18.739999999999998</v>
      </c>
      <c r="G19" s="229"/>
      <c r="H19" s="229">
        <v>20.46</v>
      </c>
      <c r="I19" s="229"/>
      <c r="J19" s="229">
        <v>22.4</v>
      </c>
      <c r="L19" s="618"/>
      <c r="M19" s="618"/>
      <c r="N19" s="618"/>
    </row>
    <row r="20" spans="3:14" x14ac:dyDescent="0.2">
      <c r="D20" s="538">
        <v>1</v>
      </c>
      <c r="F20" s="229">
        <v>31.23</v>
      </c>
      <c r="G20" s="229"/>
      <c r="H20" s="229">
        <v>34.07</v>
      </c>
      <c r="I20" s="229"/>
      <c r="J20" s="229">
        <v>37.299999999999997</v>
      </c>
      <c r="L20" s="618"/>
      <c r="M20" s="618"/>
      <c r="N20" s="618"/>
    </row>
    <row r="21" spans="3:14" x14ac:dyDescent="0.2">
      <c r="D21" s="124" t="s">
        <v>328</v>
      </c>
      <c r="F21" s="229">
        <v>62.45</v>
      </c>
      <c r="G21" s="229"/>
      <c r="H21" s="229">
        <v>68.17</v>
      </c>
      <c r="I21" s="229"/>
      <c r="J21" s="229">
        <v>74.7</v>
      </c>
      <c r="L21" s="618"/>
      <c r="M21" s="618"/>
      <c r="N21" s="618"/>
    </row>
    <row r="22" spans="3:14" x14ac:dyDescent="0.2">
      <c r="D22" s="538">
        <v>2</v>
      </c>
      <c r="F22" s="229">
        <v>99.92</v>
      </c>
      <c r="G22" s="229"/>
      <c r="H22" s="229">
        <v>109.04</v>
      </c>
      <c r="I22" s="229"/>
      <c r="J22" s="229">
        <v>119.5</v>
      </c>
      <c r="L22" s="618"/>
      <c r="M22" s="618"/>
      <c r="N22" s="618"/>
    </row>
    <row r="23" spans="3:14" x14ac:dyDescent="0.2">
      <c r="D23" s="538">
        <v>3</v>
      </c>
      <c r="F23" s="229">
        <v>187.35</v>
      </c>
      <c r="G23" s="229"/>
      <c r="H23" s="229">
        <v>204.47</v>
      </c>
      <c r="I23" s="229"/>
      <c r="J23" s="229">
        <v>224</v>
      </c>
      <c r="L23" s="618"/>
      <c r="M23" s="618"/>
      <c r="N23" s="618"/>
    </row>
    <row r="24" spans="3:14" x14ac:dyDescent="0.2">
      <c r="D24" s="538">
        <v>4</v>
      </c>
      <c r="F24" s="229">
        <v>312.25</v>
      </c>
      <c r="G24" s="229"/>
      <c r="H24" s="229">
        <v>340.77</v>
      </c>
      <c r="I24" s="229"/>
      <c r="J24" s="229">
        <v>373.4</v>
      </c>
      <c r="L24" s="618"/>
      <c r="M24" s="618"/>
      <c r="N24" s="618"/>
    </row>
    <row r="25" spans="3:14" x14ac:dyDescent="0.2">
      <c r="D25" s="538">
        <v>6</v>
      </c>
      <c r="F25" s="229">
        <v>624.5</v>
      </c>
      <c r="G25" s="229"/>
      <c r="H25" s="229">
        <v>681.5</v>
      </c>
      <c r="I25" s="229"/>
      <c r="J25" s="229">
        <v>746.7</v>
      </c>
      <c r="L25" s="618"/>
      <c r="M25" s="618"/>
      <c r="N25" s="618"/>
    </row>
    <row r="26" spans="3:14" x14ac:dyDescent="0.2">
      <c r="D26" s="538">
        <v>8</v>
      </c>
      <c r="F26" s="229">
        <v>999.2</v>
      </c>
      <c r="G26" s="229"/>
      <c r="H26" s="229">
        <v>1090.4000000000001</v>
      </c>
      <c r="I26" s="229"/>
      <c r="J26" s="229">
        <v>1194.7</v>
      </c>
      <c r="L26" s="618"/>
      <c r="M26" s="618"/>
      <c r="N26" s="618"/>
    </row>
    <row r="27" spans="3:14" x14ac:dyDescent="0.2">
      <c r="D27" s="538"/>
      <c r="F27" s="229"/>
      <c r="G27" s="229"/>
      <c r="I27" s="229"/>
    </row>
    <row r="28" spans="3:14" ht="6" customHeight="1" x14ac:dyDescent="0.2">
      <c r="F28" s="229"/>
      <c r="G28" s="229"/>
      <c r="I28" s="229"/>
    </row>
    <row r="29" spans="3:14" x14ac:dyDescent="0.2">
      <c r="F29" s="734" t="s">
        <v>393</v>
      </c>
      <c r="G29" s="734"/>
      <c r="H29" s="734"/>
      <c r="I29" s="734"/>
      <c r="J29" s="734"/>
      <c r="K29" s="192"/>
      <c r="L29" s="192"/>
    </row>
    <row r="30" spans="3:14" x14ac:dyDescent="0.2">
      <c r="C30" s="414" t="s">
        <v>394</v>
      </c>
      <c r="F30" s="617" t="s">
        <v>389</v>
      </c>
      <c r="G30" s="617"/>
      <c r="J30" s="617" t="s">
        <v>390</v>
      </c>
      <c r="K30" s="617"/>
      <c r="L30" s="617"/>
    </row>
    <row r="31" spans="3:14" ht="7.5" customHeight="1" x14ac:dyDescent="0.2"/>
    <row r="32" spans="3:14" x14ac:dyDescent="0.2">
      <c r="C32" s="16" t="s">
        <v>615</v>
      </c>
      <c r="F32" s="233">
        <v>5.0590000000000002</v>
      </c>
      <c r="G32" s="630"/>
      <c r="H32" s="626"/>
      <c r="I32" s="626"/>
      <c r="J32" s="233">
        <v>6.3639999999999999</v>
      </c>
      <c r="K32" s="227"/>
      <c r="L32" s="235"/>
      <c r="M32" s="613"/>
    </row>
    <row r="33" spans="2:13" x14ac:dyDescent="0.2">
      <c r="C33" s="16" t="s">
        <v>616</v>
      </c>
      <c r="F33" s="233">
        <v>4.4119999999999999</v>
      </c>
      <c r="G33" s="630"/>
      <c r="H33" s="626"/>
      <c r="I33" s="626"/>
      <c r="J33" s="233">
        <v>5.7119999999999997</v>
      </c>
      <c r="K33" s="227"/>
      <c r="L33" s="235"/>
      <c r="M33" s="613"/>
    </row>
    <row r="34" spans="2:13" x14ac:dyDescent="0.2">
      <c r="C34" s="16" t="s">
        <v>617</v>
      </c>
      <c r="F34" s="233">
        <v>3.8340000000000001</v>
      </c>
      <c r="G34" s="630"/>
      <c r="H34" s="626"/>
      <c r="I34" s="626"/>
      <c r="J34" s="233">
        <v>4.75</v>
      </c>
      <c r="K34" s="227"/>
      <c r="L34" s="235"/>
      <c r="M34" s="613"/>
    </row>
    <row r="35" spans="2:13" x14ac:dyDescent="0.2">
      <c r="C35" s="16" t="s">
        <v>618</v>
      </c>
      <c r="F35" s="233">
        <v>4.0529999999999999</v>
      </c>
      <c r="G35" s="630"/>
      <c r="H35" s="626"/>
      <c r="I35" s="626"/>
      <c r="J35" s="233">
        <v>5.1909999999999998</v>
      </c>
      <c r="K35" s="227"/>
      <c r="L35" s="235"/>
      <c r="M35" s="613"/>
    </row>
    <row r="36" spans="2:13" x14ac:dyDescent="0.2">
      <c r="C36" s="16" t="s">
        <v>619</v>
      </c>
      <c r="F36" s="233">
        <v>3.8370000000000002</v>
      </c>
      <c r="G36" s="630"/>
      <c r="H36" s="626"/>
      <c r="I36" s="626"/>
      <c r="J36" s="233">
        <v>4.76</v>
      </c>
      <c r="K36" s="227"/>
      <c r="L36" s="235"/>
      <c r="M36" s="613"/>
    </row>
    <row r="37" spans="2:13" x14ac:dyDescent="0.2">
      <c r="F37" s="227"/>
      <c r="G37" s="619"/>
      <c r="H37" s="227"/>
      <c r="J37" s="227"/>
      <c r="K37" s="227"/>
      <c r="L37" s="227"/>
      <c r="M37" s="613"/>
    </row>
    <row r="38" spans="2:13" x14ac:dyDescent="0.2">
      <c r="F38" s="620"/>
      <c r="G38" s="228"/>
      <c r="H38" s="228"/>
      <c r="J38" s="228"/>
      <c r="K38" s="228"/>
      <c r="L38" s="228"/>
    </row>
    <row r="39" spans="2:13" ht="10.7" customHeight="1" x14ac:dyDescent="0.2">
      <c r="J39" s="228"/>
      <c r="K39" s="228"/>
      <c r="L39" s="228"/>
    </row>
    <row r="40" spans="2:13" x14ac:dyDescent="0.2">
      <c r="C40" s="414" t="s">
        <v>395</v>
      </c>
    </row>
    <row r="41" spans="2:13" x14ac:dyDescent="0.2">
      <c r="B41" s="618"/>
      <c r="C41" s="414"/>
      <c r="H41" s="538" t="s">
        <v>389</v>
      </c>
      <c r="J41" s="538" t="s">
        <v>390</v>
      </c>
    </row>
    <row r="42" spans="2:13" x14ac:dyDescent="0.2">
      <c r="B42" s="621"/>
      <c r="D42" s="538" t="s">
        <v>92</v>
      </c>
      <c r="G42" s="538"/>
      <c r="H42" s="538" t="s">
        <v>391</v>
      </c>
      <c r="J42" s="538" t="s">
        <v>391</v>
      </c>
    </row>
    <row r="43" spans="2:13" x14ac:dyDescent="0.2">
      <c r="D43" s="617" t="s">
        <v>396</v>
      </c>
      <c r="G43" s="617"/>
      <c r="H43" s="617" t="s">
        <v>404</v>
      </c>
      <c r="J43" s="617" t="s">
        <v>404</v>
      </c>
    </row>
    <row r="44" spans="2:13" ht="9.1999999999999993" customHeight="1" x14ac:dyDescent="0.2"/>
    <row r="45" spans="2:13" x14ac:dyDescent="0.2">
      <c r="D45" s="538">
        <v>2</v>
      </c>
      <c r="G45" s="444"/>
      <c r="H45" s="232">
        <v>8.11</v>
      </c>
      <c r="J45" s="232">
        <v>9.16</v>
      </c>
    </row>
    <row r="46" spans="2:13" x14ac:dyDescent="0.2">
      <c r="D46" s="538">
        <v>4</v>
      </c>
      <c r="G46" s="444"/>
      <c r="H46" s="229">
        <v>32.67</v>
      </c>
      <c r="J46" s="229">
        <v>36.92</v>
      </c>
    </row>
    <row r="47" spans="2:13" x14ac:dyDescent="0.2">
      <c r="D47" s="538">
        <v>6</v>
      </c>
      <c r="G47" s="444"/>
      <c r="H47" s="229">
        <v>73.489999999999995</v>
      </c>
      <c r="J47" s="229">
        <v>83.04</v>
      </c>
    </row>
    <row r="48" spans="2:13" x14ac:dyDescent="0.2">
      <c r="D48" s="538">
        <v>8</v>
      </c>
      <c r="G48" s="444"/>
      <c r="H48" s="229">
        <v>130.63999999999999</v>
      </c>
      <c r="J48" s="229">
        <v>147.62</v>
      </c>
    </row>
    <row r="49" spans="3:13" x14ac:dyDescent="0.2">
      <c r="D49" s="538">
        <v>10</v>
      </c>
      <c r="G49" s="444"/>
      <c r="H49" s="229">
        <v>204.18</v>
      </c>
      <c r="J49" s="229">
        <v>230.72</v>
      </c>
    </row>
    <row r="50" spans="3:13" x14ac:dyDescent="0.2">
      <c r="D50" s="538">
        <v>12</v>
      </c>
      <c r="G50" s="444"/>
      <c r="H50" s="229">
        <v>294.43</v>
      </c>
      <c r="J50" s="229">
        <v>332.71</v>
      </c>
    </row>
    <row r="51" spans="3:13" x14ac:dyDescent="0.2">
      <c r="D51" s="538">
        <v>14</v>
      </c>
      <c r="G51" s="444"/>
      <c r="H51" s="229">
        <v>423.96</v>
      </c>
      <c r="J51" s="229">
        <v>479.07</v>
      </c>
    </row>
    <row r="52" spans="3:13" x14ac:dyDescent="0.2">
      <c r="D52" s="538">
        <v>16</v>
      </c>
      <c r="G52" s="444"/>
      <c r="H52" s="229">
        <v>522.80999999999995</v>
      </c>
      <c r="J52" s="229">
        <v>590.78</v>
      </c>
    </row>
    <row r="53" spans="3:13" x14ac:dyDescent="0.2">
      <c r="D53" s="622" t="s">
        <v>397</v>
      </c>
      <c r="G53" s="443"/>
      <c r="H53" s="229">
        <v>70.900000000000006</v>
      </c>
      <c r="J53" s="229">
        <v>80.12</v>
      </c>
    </row>
    <row r="54" spans="3:13" ht="15" customHeight="1" x14ac:dyDescent="0.2"/>
    <row r="55" spans="3:13" x14ac:dyDescent="0.2">
      <c r="D55" s="16" t="s">
        <v>398</v>
      </c>
      <c r="G55" s="443"/>
      <c r="H55" s="231">
        <v>39.9</v>
      </c>
      <c r="J55" s="231">
        <v>49.16</v>
      </c>
      <c r="M55" s="626"/>
    </row>
    <row r="56" spans="3:13" x14ac:dyDescent="0.2">
      <c r="C56" s="701"/>
      <c r="D56" s="701"/>
      <c r="E56" s="701"/>
      <c r="F56" s="701"/>
      <c r="G56" s="701"/>
      <c r="H56" s="701"/>
      <c r="I56" s="701"/>
      <c r="J56" s="701"/>
      <c r="K56" s="701"/>
      <c r="L56" s="701"/>
    </row>
    <row r="58" spans="3:13" x14ac:dyDescent="0.2">
      <c r="C58" s="707" t="s">
        <v>670</v>
      </c>
      <c r="D58" s="707"/>
      <c r="E58" s="707"/>
      <c r="F58" s="707"/>
      <c r="G58" s="707"/>
      <c r="H58" s="707"/>
      <c r="I58" s="707"/>
      <c r="J58" s="707"/>
      <c r="K58" s="707"/>
      <c r="L58" s="707"/>
    </row>
    <row r="59" spans="3:13" x14ac:dyDescent="0.2">
      <c r="C59" s="538"/>
      <c r="D59" s="538"/>
      <c r="E59" s="538"/>
      <c r="F59" s="538"/>
      <c r="G59" s="538"/>
      <c r="H59" s="538"/>
      <c r="I59" s="538"/>
      <c r="J59" s="538"/>
      <c r="K59" s="538"/>
      <c r="L59" s="538"/>
    </row>
    <row r="60" spans="3:13" x14ac:dyDescent="0.2">
      <c r="C60" s="538"/>
      <c r="D60" s="538"/>
      <c r="E60" s="538"/>
      <c r="F60" s="733" t="s">
        <v>676</v>
      </c>
      <c r="G60" s="733"/>
      <c r="H60" s="733"/>
      <c r="I60" s="733"/>
      <c r="J60" s="733"/>
      <c r="K60" s="538"/>
      <c r="L60" s="538"/>
    </row>
    <row r="61" spans="3:13" x14ac:dyDescent="0.2">
      <c r="D61" s="538" t="s">
        <v>324</v>
      </c>
      <c r="F61" s="172" t="s">
        <v>671</v>
      </c>
      <c r="J61" s="172" t="s">
        <v>674</v>
      </c>
    </row>
    <row r="62" spans="3:13" x14ac:dyDescent="0.2">
      <c r="C62" s="414"/>
      <c r="D62" s="123" t="s">
        <v>273</v>
      </c>
      <c r="F62" s="123" t="s">
        <v>672</v>
      </c>
      <c r="H62" s="123" t="s">
        <v>673</v>
      </c>
      <c r="J62" s="123" t="s">
        <v>675</v>
      </c>
    </row>
    <row r="63" spans="3:13" x14ac:dyDescent="0.2">
      <c r="F63" s="538"/>
      <c r="H63" s="538"/>
    </row>
    <row r="64" spans="3:13" x14ac:dyDescent="0.2">
      <c r="C64" s="538"/>
      <c r="D64" s="124" t="s">
        <v>326</v>
      </c>
      <c r="F64" s="230">
        <v>28.28</v>
      </c>
      <c r="G64" s="538"/>
      <c r="H64" s="614">
        <v>2000</v>
      </c>
      <c r="I64" s="538"/>
      <c r="J64" s="231">
        <v>11.3</v>
      </c>
    </row>
    <row r="65" spans="3:10" x14ac:dyDescent="0.2">
      <c r="C65" s="617"/>
      <c r="D65" s="124" t="s">
        <v>392</v>
      </c>
      <c r="F65" s="230">
        <v>28.28</v>
      </c>
      <c r="G65" s="617"/>
      <c r="H65" s="614">
        <v>2000</v>
      </c>
      <c r="I65" s="617"/>
      <c r="J65" s="231">
        <v>11.3</v>
      </c>
    </row>
    <row r="66" spans="3:10" x14ac:dyDescent="0.2">
      <c r="D66" s="538">
        <v>1</v>
      </c>
      <c r="F66" s="192">
        <v>62.87</v>
      </c>
      <c r="H66" s="193">
        <v>5000</v>
      </c>
      <c r="J66" s="231">
        <v>11.3</v>
      </c>
    </row>
    <row r="67" spans="3:10" x14ac:dyDescent="0.2">
      <c r="C67" s="124"/>
      <c r="D67" s="538">
        <v>2</v>
      </c>
      <c r="F67" s="192">
        <v>178.17</v>
      </c>
      <c r="G67" s="229"/>
      <c r="H67" s="193">
        <v>15000</v>
      </c>
      <c r="I67" s="229"/>
      <c r="J67" s="231">
        <v>11.3</v>
      </c>
    </row>
    <row r="68" spans="3:10" x14ac:dyDescent="0.2">
      <c r="C68" s="538"/>
      <c r="F68" s="229"/>
      <c r="G68" s="229"/>
      <c r="I68" s="229"/>
    </row>
    <row r="69" spans="3:10" x14ac:dyDescent="0.2">
      <c r="D69" s="538"/>
      <c r="E69" s="538"/>
      <c r="F69" s="733" t="s">
        <v>677</v>
      </c>
      <c r="G69" s="733"/>
      <c r="H69" s="733"/>
      <c r="I69" s="188"/>
      <c r="J69" s="188"/>
    </row>
    <row r="70" spans="3:10" x14ac:dyDescent="0.2">
      <c r="D70" s="538" t="s">
        <v>324</v>
      </c>
      <c r="F70" s="172" t="s">
        <v>324</v>
      </c>
      <c r="I70" s="188"/>
      <c r="J70" s="172"/>
    </row>
    <row r="71" spans="3:10" x14ac:dyDescent="0.2">
      <c r="D71" s="123" t="s">
        <v>273</v>
      </c>
      <c r="F71" s="123" t="s">
        <v>678</v>
      </c>
      <c r="H71" s="123" t="s">
        <v>673</v>
      </c>
      <c r="I71" s="188"/>
      <c r="J71" s="172"/>
    </row>
    <row r="72" spans="3:10" x14ac:dyDescent="0.2">
      <c r="F72" s="538"/>
      <c r="H72" s="538"/>
      <c r="I72" s="188"/>
      <c r="J72" s="188"/>
    </row>
    <row r="73" spans="3:10" x14ac:dyDescent="0.2">
      <c r="D73" s="124" t="s">
        <v>326</v>
      </c>
      <c r="F73" s="230">
        <f>+J18</f>
        <v>15</v>
      </c>
      <c r="G73" s="538"/>
      <c r="H73" s="614">
        <v>0</v>
      </c>
      <c r="I73" s="172"/>
      <c r="J73" s="615"/>
    </row>
    <row r="74" spans="3:10" x14ac:dyDescent="0.2">
      <c r="D74" s="124" t="s">
        <v>392</v>
      </c>
      <c r="F74" s="230">
        <f t="shared" ref="F74:F75" si="0">+J19</f>
        <v>22.4</v>
      </c>
      <c r="G74" s="617"/>
      <c r="H74" s="614">
        <v>0</v>
      </c>
      <c r="I74" s="623"/>
      <c r="J74" s="615"/>
    </row>
    <row r="75" spans="3:10" x14ac:dyDescent="0.2">
      <c r="D75" s="538">
        <v>1</v>
      </c>
      <c r="F75" s="230">
        <f t="shared" si="0"/>
        <v>37.299999999999997</v>
      </c>
      <c r="H75" s="193">
        <v>0</v>
      </c>
      <c r="I75" s="188"/>
      <c r="J75" s="615"/>
    </row>
    <row r="76" spans="3:10" x14ac:dyDescent="0.2">
      <c r="D76" s="538">
        <v>2</v>
      </c>
      <c r="F76" s="192">
        <f>+J22</f>
        <v>119.5</v>
      </c>
      <c r="G76" s="229"/>
      <c r="H76" s="193">
        <v>0</v>
      </c>
      <c r="I76" s="192"/>
      <c r="J76" s="615"/>
    </row>
    <row r="78" spans="3:10" x14ac:dyDescent="0.2">
      <c r="D78" s="414" t="s">
        <v>394</v>
      </c>
    </row>
    <row r="80" spans="3:10" x14ac:dyDescent="0.2">
      <c r="D80" s="16" t="s">
        <v>615</v>
      </c>
      <c r="H80" s="616">
        <f>+J32</f>
        <v>6.3639999999999999</v>
      </c>
    </row>
    <row r="81" spans="3:12" x14ac:dyDescent="0.2">
      <c r="D81" s="16" t="s">
        <v>616</v>
      </c>
      <c r="H81" s="616">
        <f>+J33</f>
        <v>5.7119999999999997</v>
      </c>
    </row>
    <row r="84" spans="3:12" x14ac:dyDescent="0.2">
      <c r="C84" s="707" t="s">
        <v>679</v>
      </c>
      <c r="D84" s="707"/>
      <c r="E84" s="707"/>
      <c r="F84" s="707"/>
      <c r="G84" s="707"/>
      <c r="H84" s="707"/>
      <c r="I84" s="707"/>
      <c r="J84" s="707"/>
      <c r="K84" s="707"/>
    </row>
    <row r="85" spans="3:12" x14ac:dyDescent="0.2">
      <c r="C85" s="538"/>
      <c r="D85" s="538"/>
      <c r="E85" s="538"/>
      <c r="F85" s="538"/>
      <c r="G85" s="538"/>
      <c r="H85" s="538"/>
      <c r="I85" s="538"/>
      <c r="J85" s="538"/>
      <c r="K85" s="538"/>
      <c r="L85" s="538"/>
    </row>
    <row r="86" spans="3:12" x14ac:dyDescent="0.2">
      <c r="C86" s="538"/>
      <c r="D86" s="538"/>
      <c r="E86" s="538"/>
      <c r="F86" s="733" t="s">
        <v>676</v>
      </c>
      <c r="G86" s="733"/>
      <c r="H86" s="733"/>
      <c r="I86" s="188"/>
      <c r="J86" s="188"/>
      <c r="K86" s="538"/>
      <c r="L86" s="538"/>
    </row>
    <row r="87" spans="3:12" x14ac:dyDescent="0.2">
      <c r="D87" s="538" t="s">
        <v>324</v>
      </c>
      <c r="F87" s="172" t="s">
        <v>671</v>
      </c>
      <c r="I87" s="188"/>
      <c r="J87" s="172"/>
    </row>
    <row r="88" spans="3:12" x14ac:dyDescent="0.2">
      <c r="C88" s="414"/>
      <c r="D88" s="123" t="s">
        <v>273</v>
      </c>
      <c r="F88" s="123" t="s">
        <v>672</v>
      </c>
      <c r="H88" s="123" t="s">
        <v>673</v>
      </c>
      <c r="I88" s="188"/>
      <c r="J88" s="172"/>
    </row>
    <row r="89" spans="3:12" ht="16.5" customHeight="1" x14ac:dyDescent="0.2">
      <c r="C89" s="124"/>
      <c r="D89" s="622"/>
      <c r="F89" s="230"/>
      <c r="G89" s="229"/>
      <c r="H89" s="193"/>
      <c r="I89" s="229"/>
      <c r="J89" s="231"/>
    </row>
    <row r="90" spans="3:12" ht="16.5" customHeight="1" x14ac:dyDescent="0.2">
      <c r="C90" s="124"/>
      <c r="D90" s="625" t="s">
        <v>146</v>
      </c>
      <c r="F90" s="230"/>
      <c r="G90" s="229"/>
      <c r="H90" s="193"/>
      <c r="I90" s="229"/>
      <c r="J90" s="231"/>
    </row>
    <row r="91" spans="3:12" ht="16.5" customHeight="1" x14ac:dyDescent="0.2">
      <c r="C91" s="124"/>
      <c r="D91" s="124" t="s">
        <v>687</v>
      </c>
      <c r="F91" s="673">
        <v>31.52</v>
      </c>
      <c r="G91" s="538"/>
      <c r="H91" s="614">
        <v>2000</v>
      </c>
      <c r="I91" s="229"/>
      <c r="J91" s="231"/>
    </row>
    <row r="92" spans="3:12" ht="16.5" customHeight="1" x14ac:dyDescent="0.2">
      <c r="C92" s="124"/>
      <c r="D92" s="124"/>
      <c r="F92" s="673"/>
      <c r="G92" s="672"/>
      <c r="H92" s="614"/>
      <c r="I92" s="229"/>
      <c r="J92" s="231"/>
    </row>
    <row r="93" spans="3:12" ht="16.5" customHeight="1" x14ac:dyDescent="0.2">
      <c r="C93" s="124"/>
      <c r="D93" s="622" t="s">
        <v>680</v>
      </c>
      <c r="F93" s="673"/>
      <c r="G93" s="672"/>
      <c r="H93" s="614"/>
      <c r="I93" s="229"/>
      <c r="J93" s="231"/>
    </row>
    <row r="94" spans="3:12" ht="16.5" customHeight="1" x14ac:dyDescent="0.2">
      <c r="C94" s="124"/>
      <c r="D94" s="622" t="s">
        <v>684</v>
      </c>
      <c r="F94" s="673"/>
      <c r="G94" s="229"/>
      <c r="H94" s="624">
        <v>12.33</v>
      </c>
      <c r="I94" s="229"/>
      <c r="J94" s="231"/>
    </row>
    <row r="95" spans="3:12" ht="16.5" customHeight="1" x14ac:dyDescent="0.2">
      <c r="C95" s="124"/>
      <c r="D95" s="622" t="s">
        <v>685</v>
      </c>
      <c r="F95" s="673"/>
      <c r="G95" s="229"/>
      <c r="H95" s="624">
        <v>11.07</v>
      </c>
      <c r="I95" s="229"/>
      <c r="J95" s="231"/>
    </row>
    <row r="96" spans="3:12" ht="16.5" customHeight="1" x14ac:dyDescent="0.2">
      <c r="C96" s="124"/>
      <c r="D96" s="622" t="s">
        <v>686</v>
      </c>
      <c r="F96" s="673"/>
      <c r="G96" s="229"/>
      <c r="H96" s="624">
        <v>9.48</v>
      </c>
      <c r="I96" s="229"/>
      <c r="J96" s="231"/>
    </row>
    <row r="97" spans="3:10" x14ac:dyDescent="0.2">
      <c r="C97" s="124"/>
      <c r="D97" s="622"/>
      <c r="F97" s="673"/>
      <c r="G97" s="229"/>
      <c r="H97" s="624"/>
      <c r="I97" s="229"/>
      <c r="J97" s="231"/>
    </row>
    <row r="98" spans="3:10" x14ac:dyDescent="0.2">
      <c r="C98" s="124"/>
      <c r="D98" s="625" t="s">
        <v>668</v>
      </c>
      <c r="F98" s="673"/>
      <c r="G98" s="229"/>
      <c r="H98" s="624"/>
      <c r="I98" s="229"/>
      <c r="J98" s="231"/>
    </row>
    <row r="99" spans="3:10" x14ac:dyDescent="0.2">
      <c r="C99" s="124"/>
      <c r="D99" s="124" t="s">
        <v>687</v>
      </c>
      <c r="F99" s="673">
        <v>28.79</v>
      </c>
      <c r="G99" s="229"/>
      <c r="H99" s="614">
        <v>2000</v>
      </c>
      <c r="I99" s="229"/>
      <c r="J99" s="231"/>
    </row>
    <row r="100" spans="3:10" x14ac:dyDescent="0.2">
      <c r="C100" s="124"/>
      <c r="D100" s="124"/>
      <c r="F100" s="230"/>
      <c r="G100" s="229"/>
      <c r="H100" s="624"/>
      <c r="I100" s="229"/>
      <c r="J100" s="231"/>
    </row>
    <row r="101" spans="3:10" x14ac:dyDescent="0.2">
      <c r="C101" s="124"/>
      <c r="D101" s="622" t="s">
        <v>680</v>
      </c>
      <c r="F101" s="230"/>
      <c r="G101" s="229"/>
      <c r="H101" s="624"/>
      <c r="I101" s="229"/>
      <c r="J101" s="231"/>
    </row>
    <row r="102" spans="3:10" x14ac:dyDescent="0.2">
      <c r="C102" s="124"/>
      <c r="D102" s="622" t="s">
        <v>681</v>
      </c>
      <c r="F102" s="230"/>
      <c r="G102" s="229"/>
      <c r="H102" s="624">
        <v>17.87</v>
      </c>
      <c r="I102" s="229"/>
      <c r="J102" s="231"/>
    </row>
    <row r="103" spans="3:10" x14ac:dyDescent="0.2">
      <c r="C103" s="124"/>
      <c r="D103" s="622"/>
      <c r="F103" s="230"/>
      <c r="G103" s="229"/>
      <c r="H103" s="624"/>
      <c r="I103" s="229"/>
      <c r="J103" s="231"/>
    </row>
    <row r="104" spans="3:10" x14ac:dyDescent="0.2">
      <c r="C104" s="124"/>
      <c r="D104" s="625" t="s">
        <v>267</v>
      </c>
      <c r="F104" s="230"/>
      <c r="G104" s="229"/>
      <c r="H104" s="627"/>
      <c r="I104" s="229"/>
      <c r="J104" s="231"/>
    </row>
    <row r="105" spans="3:10" x14ac:dyDescent="0.2">
      <c r="C105" s="538"/>
      <c r="D105" s="622" t="s">
        <v>681</v>
      </c>
      <c r="F105" s="229"/>
      <c r="G105" s="229"/>
      <c r="H105" s="621">
        <v>4.57</v>
      </c>
      <c r="I105" s="229"/>
    </row>
    <row r="106" spans="3:10" x14ac:dyDescent="0.2">
      <c r="C106" s="538"/>
      <c r="D106" s="622"/>
      <c r="F106" s="229"/>
      <c r="G106" s="229"/>
      <c r="I106" s="229"/>
    </row>
    <row r="107" spans="3:10" x14ac:dyDescent="0.2">
      <c r="D107" s="538"/>
      <c r="E107" s="538"/>
      <c r="F107" s="733" t="s">
        <v>677</v>
      </c>
      <c r="G107" s="733"/>
      <c r="H107" s="733"/>
      <c r="I107" s="188"/>
      <c r="J107" s="188"/>
    </row>
    <row r="108" spans="3:10" x14ac:dyDescent="0.2">
      <c r="D108" s="538" t="s">
        <v>324</v>
      </c>
      <c r="F108" s="172" t="s">
        <v>324</v>
      </c>
      <c r="I108" s="188"/>
      <c r="J108" s="172"/>
    </row>
    <row r="109" spans="3:10" x14ac:dyDescent="0.2">
      <c r="D109" s="123" t="s">
        <v>273</v>
      </c>
      <c r="F109" s="123" t="s">
        <v>678</v>
      </c>
      <c r="H109" s="123" t="s">
        <v>673</v>
      </c>
      <c r="I109" s="188"/>
      <c r="J109" s="172"/>
    </row>
    <row r="110" spans="3:10" x14ac:dyDescent="0.2">
      <c r="F110" s="538"/>
      <c r="H110" s="538"/>
      <c r="I110" s="188"/>
      <c r="J110" s="188"/>
    </row>
    <row r="111" spans="3:10" x14ac:dyDescent="0.2">
      <c r="D111" s="124" t="s">
        <v>326</v>
      </c>
      <c r="F111" s="230">
        <f>+J18</f>
        <v>15</v>
      </c>
      <c r="G111" s="538"/>
      <c r="H111" s="614">
        <v>0</v>
      </c>
      <c r="I111" s="172"/>
      <c r="J111" s="615"/>
    </row>
    <row r="112" spans="3:10" x14ac:dyDescent="0.2">
      <c r="D112" s="538">
        <v>2</v>
      </c>
      <c r="F112" s="192">
        <f>+J22</f>
        <v>119.5</v>
      </c>
      <c r="G112" s="229"/>
      <c r="H112" s="193">
        <v>0</v>
      </c>
      <c r="I112" s="192"/>
      <c r="J112" s="615"/>
    </row>
    <row r="113" spans="4:10" x14ac:dyDescent="0.2">
      <c r="D113" s="538">
        <v>4</v>
      </c>
      <c r="F113" s="192">
        <f>+J24</f>
        <v>373.4</v>
      </c>
      <c r="G113" s="229"/>
      <c r="H113" s="193">
        <v>0</v>
      </c>
      <c r="I113" s="192"/>
      <c r="J113" s="615"/>
    </row>
    <row r="115" spans="4:10" x14ac:dyDescent="0.2">
      <c r="D115" s="414" t="s">
        <v>394</v>
      </c>
      <c r="H115" s="172" t="s">
        <v>683</v>
      </c>
    </row>
    <row r="116" spans="4:10" x14ac:dyDescent="0.2">
      <c r="H116" s="123" t="s">
        <v>307</v>
      </c>
    </row>
    <row r="117" spans="4:10" x14ac:dyDescent="0.2">
      <c r="D117" s="16" t="s">
        <v>615</v>
      </c>
      <c r="H117" s="616">
        <f>+J32</f>
        <v>6.3639999999999999</v>
      </c>
    </row>
    <row r="118" spans="4:10" x14ac:dyDescent="0.2">
      <c r="D118" s="16" t="s">
        <v>616</v>
      </c>
      <c r="H118" s="616">
        <f>+J33</f>
        <v>5.7119999999999997</v>
      </c>
    </row>
    <row r="119" spans="4:10" x14ac:dyDescent="0.2">
      <c r="D119" s="16" t="s">
        <v>682</v>
      </c>
      <c r="H119" s="621">
        <f>+J36</f>
        <v>4.76</v>
      </c>
    </row>
  </sheetData>
  <mergeCells count="13">
    <mergeCell ref="C9:J9"/>
    <mergeCell ref="C7:J7"/>
    <mergeCell ref="F107:H107"/>
    <mergeCell ref="C10:L10"/>
    <mergeCell ref="F15:H15"/>
    <mergeCell ref="F29:J29"/>
    <mergeCell ref="F60:J60"/>
    <mergeCell ref="F69:H69"/>
    <mergeCell ref="F86:H86"/>
    <mergeCell ref="C84:K84"/>
    <mergeCell ref="C56:L56"/>
    <mergeCell ref="C58:L58"/>
    <mergeCell ref="C11:J11"/>
  </mergeCells>
  <phoneticPr fontId="13" type="noConversion"/>
  <printOptions horizontalCentered="1"/>
  <pageMargins left="1" right="0.75" top="1" bottom="0.75" header="0.5" footer="0.5"/>
  <pageSetup scale="93" orientation="portrait" r:id="rId1"/>
  <headerFooter alignWithMargins="0"/>
  <rowBreaks count="1" manualBreakCount="1">
    <brk id="82" min="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885"/>
  <sheetViews>
    <sheetView topLeftCell="A377" zoomScaleNormal="100" workbookViewId="0">
      <selection activeCell="N415" sqref="N415"/>
    </sheetView>
  </sheetViews>
  <sheetFormatPr defaultRowHeight="12.75" x14ac:dyDescent="0.2"/>
  <cols>
    <col min="1" max="1" width="9.5546875" style="692" customWidth="1"/>
    <col min="2" max="2" width="10.77734375" style="692" customWidth="1"/>
    <col min="3" max="3" width="11" style="516" customWidth="1"/>
    <col min="4" max="4" width="5.6640625" style="273" bestFit="1" customWidth="1"/>
    <col min="5" max="5" width="1" style="94" customWidth="1"/>
    <col min="6" max="6" width="33.109375" style="56" customWidth="1"/>
    <col min="7" max="7" width="1.44140625" style="56" customWidth="1"/>
    <col min="8" max="8" width="4.6640625" style="63" customWidth="1"/>
    <col min="9" max="9" width="1.44140625" style="53" customWidth="1"/>
    <col min="10" max="10" width="14.44140625" style="65" bestFit="1" customWidth="1"/>
    <col min="11" max="11" width="1.33203125" style="53" customWidth="1"/>
    <col min="12" max="12" width="11.109375" style="67" customWidth="1"/>
    <col min="13" max="13" width="1.109375" style="67" customWidth="1"/>
    <col min="14" max="14" width="10.5546875" style="67" customWidth="1"/>
    <col min="15" max="15" width="1.44140625" style="67" customWidth="1"/>
    <col min="16" max="16" width="10.77734375" style="67" bestFit="1" customWidth="1"/>
    <col min="17" max="17" width="1.5546875" style="67" customWidth="1"/>
    <col min="18" max="18" width="10.77734375" style="67" bestFit="1" customWidth="1"/>
    <col min="19" max="19" width="1.44140625" style="67" customWidth="1"/>
    <col min="20" max="20" width="10.109375" style="67" bestFit="1" customWidth="1"/>
    <col min="21" max="21" width="1.21875" style="67" customWidth="1"/>
    <col min="22" max="22" width="9.88671875" style="67" bestFit="1" customWidth="1"/>
    <col min="23" max="23" width="1.33203125" style="67" customWidth="1"/>
    <col min="24" max="24" width="10.44140625" style="67" bestFit="1" customWidth="1"/>
    <col min="25" max="25" width="2.44140625" style="340" customWidth="1"/>
    <col min="26" max="26" width="9.33203125" style="340" customWidth="1"/>
    <col min="27" max="27" width="12.33203125" customWidth="1"/>
    <col min="28" max="28" width="1.77734375" customWidth="1"/>
    <col min="29" max="29" width="40.6640625" style="53" bestFit="1" customWidth="1"/>
    <col min="30" max="30" width="1.33203125" customWidth="1"/>
    <col min="31" max="31" width="4" customWidth="1"/>
    <col min="32" max="32" width="1.6640625" customWidth="1"/>
    <col min="33" max="33" width="11.5546875" bestFit="1" customWidth="1"/>
    <col min="34" max="34" width="2.5546875" customWidth="1"/>
    <col min="35" max="35" width="11.5546875" bestFit="1" customWidth="1"/>
    <col min="36" max="36" width="0.88671875" customWidth="1"/>
    <col min="37" max="37" width="11.5546875" bestFit="1" customWidth="1"/>
    <col min="38" max="38" width="1.21875" customWidth="1"/>
    <col min="39" max="39" width="9.6640625" customWidth="1"/>
    <col min="40" max="40" width="1.21875" customWidth="1"/>
    <col min="41" max="41" width="10.109375" customWidth="1"/>
    <col min="42" max="42" width="0.88671875" customWidth="1"/>
    <col min="43" max="43" width="11.109375" customWidth="1"/>
    <col min="44" max="44" width="0.88671875" customWidth="1"/>
    <col min="45" max="45" width="10.77734375" customWidth="1"/>
    <col min="46" max="46" width="1.33203125" customWidth="1"/>
    <col min="47" max="47" width="10.77734375" customWidth="1"/>
    <col min="48" max="48" width="0.77734375" customWidth="1"/>
    <col min="49" max="49" width="9.77734375" customWidth="1"/>
    <col min="50" max="50" width="0.77734375" customWidth="1"/>
    <col min="51" max="51" width="9.77734375" customWidth="1"/>
    <col min="52" max="52" width="3.21875" customWidth="1"/>
    <col min="53" max="53" width="10.21875" customWidth="1"/>
  </cols>
  <sheetData>
    <row r="1" spans="1:56" s="57" customFormat="1" ht="15" x14ac:dyDescent="0.2">
      <c r="A1" s="678"/>
      <c r="B1" s="678"/>
      <c r="C1" s="674"/>
      <c r="D1" s="270"/>
      <c r="E1" s="117"/>
      <c r="F1" s="706" t="s">
        <v>7</v>
      </c>
      <c r="G1" s="706"/>
      <c r="H1" s="706"/>
      <c r="I1" s="706"/>
      <c r="J1" s="706"/>
      <c r="K1" s="706"/>
      <c r="L1" s="706"/>
      <c r="M1" s="706"/>
      <c r="N1" s="706"/>
      <c r="O1" s="706"/>
      <c r="P1" s="706"/>
      <c r="Q1" s="706"/>
      <c r="R1" s="706"/>
      <c r="S1" s="706"/>
      <c r="T1" s="706"/>
      <c r="U1" s="706"/>
      <c r="V1" s="706"/>
      <c r="W1" s="706"/>
      <c r="X1" s="706"/>
      <c r="Y1" s="16"/>
      <c r="Z1" s="16"/>
      <c r="AC1" s="237" t="s">
        <v>7</v>
      </c>
      <c r="AD1" s="237"/>
      <c r="AE1" s="237"/>
      <c r="AF1" s="237"/>
      <c r="AG1" s="237"/>
      <c r="AH1" s="237"/>
      <c r="AI1" s="237"/>
      <c r="AJ1" s="237"/>
      <c r="AK1" s="237"/>
      <c r="AL1" s="237"/>
      <c r="AM1" s="237"/>
      <c r="AN1" s="237"/>
      <c r="AO1" s="237"/>
      <c r="AP1" s="237"/>
      <c r="AQ1" s="237"/>
      <c r="AR1" s="237"/>
      <c r="AS1" s="237"/>
      <c r="AT1" s="237"/>
      <c r="AU1" s="237"/>
      <c r="AV1" s="237"/>
      <c r="AW1" s="237"/>
      <c r="AX1" s="237"/>
      <c r="AY1" s="237"/>
    </row>
    <row r="2" spans="1:56" s="57" customFormat="1" ht="13.5" customHeight="1" x14ac:dyDescent="0.2">
      <c r="A2" s="678"/>
      <c r="B2" s="678"/>
      <c r="C2" s="674"/>
      <c r="D2" s="270"/>
      <c r="E2" s="117"/>
      <c r="F2" s="704"/>
      <c r="G2" s="704"/>
      <c r="H2" s="704"/>
      <c r="I2" s="704"/>
      <c r="J2" s="704"/>
      <c r="K2" s="704"/>
      <c r="L2" s="704"/>
      <c r="M2" s="704"/>
      <c r="N2" s="704"/>
      <c r="O2" s="704"/>
      <c r="P2" s="704"/>
      <c r="Q2" s="704"/>
      <c r="R2" s="704"/>
      <c r="S2" s="704"/>
      <c r="T2" s="704"/>
      <c r="U2" s="704"/>
      <c r="V2" s="704"/>
      <c r="W2" s="704"/>
      <c r="X2" s="704"/>
      <c r="Y2" s="16"/>
      <c r="Z2" s="16"/>
      <c r="AC2" s="704"/>
      <c r="AD2" s="704"/>
      <c r="AE2" s="704"/>
      <c r="AF2" s="704"/>
      <c r="AG2" s="704"/>
      <c r="AH2" s="704"/>
      <c r="AI2" s="704"/>
      <c r="AJ2" s="704"/>
      <c r="AK2" s="704"/>
      <c r="AL2" s="704"/>
      <c r="AM2" s="704"/>
      <c r="AN2" s="704"/>
      <c r="AO2" s="704"/>
      <c r="AP2" s="704"/>
      <c r="AQ2" s="704"/>
      <c r="AR2" s="704"/>
      <c r="AS2" s="704"/>
      <c r="AT2" s="704"/>
      <c r="AU2" s="704"/>
      <c r="AV2" s="237"/>
      <c r="AW2" s="237"/>
      <c r="AX2" s="237"/>
      <c r="AY2" s="237"/>
    </row>
    <row r="3" spans="1:56" s="57" customFormat="1" ht="16.149999999999999" customHeight="1" x14ac:dyDescent="0.2">
      <c r="A3" s="678"/>
      <c r="B3" s="551"/>
      <c r="C3" s="674"/>
      <c r="D3" s="270"/>
      <c r="E3" s="117"/>
      <c r="F3" s="707" t="s">
        <v>652</v>
      </c>
      <c r="G3" s="707"/>
      <c r="H3" s="707"/>
      <c r="I3" s="707"/>
      <c r="J3" s="707"/>
      <c r="K3" s="707"/>
      <c r="L3" s="707"/>
      <c r="M3" s="707"/>
      <c r="N3" s="707"/>
      <c r="O3" s="707"/>
      <c r="P3" s="707"/>
      <c r="Q3" s="707"/>
      <c r="R3" s="707"/>
      <c r="S3" s="707"/>
      <c r="T3" s="707"/>
      <c r="U3" s="707"/>
      <c r="V3" s="707"/>
      <c r="W3" s="707"/>
      <c r="X3" s="707"/>
      <c r="Y3" s="16"/>
      <c r="Z3" s="16"/>
      <c r="AC3" s="527" t="s">
        <v>653</v>
      </c>
      <c r="AD3" s="237"/>
      <c r="AE3" s="237"/>
      <c r="AF3" s="237"/>
      <c r="AG3" s="237"/>
      <c r="AH3" s="237"/>
      <c r="AI3" s="237"/>
      <c r="AJ3" s="237"/>
      <c r="AK3" s="237"/>
      <c r="AL3" s="237"/>
      <c r="AM3" s="237"/>
      <c r="AN3" s="237"/>
      <c r="AO3" s="237"/>
      <c r="AP3" s="237"/>
      <c r="AQ3" s="237"/>
      <c r="AR3" s="237"/>
      <c r="AS3" s="237"/>
      <c r="AT3" s="237"/>
      <c r="AU3" s="237"/>
      <c r="AV3" s="237"/>
      <c r="AW3" s="237"/>
      <c r="AX3" s="237"/>
      <c r="AY3" s="237"/>
    </row>
    <row r="4" spans="1:56" s="57" customFormat="1" ht="11.85" customHeight="1" x14ac:dyDescent="0.2">
      <c r="A4" s="678"/>
      <c r="B4" s="678"/>
      <c r="C4" s="674"/>
      <c r="D4" s="270"/>
      <c r="E4" s="117"/>
      <c r="F4" s="80"/>
      <c r="G4" s="80"/>
      <c r="H4" s="80"/>
      <c r="I4" s="80"/>
      <c r="J4" s="80"/>
      <c r="K4" s="80"/>
      <c r="L4" s="502"/>
      <c r="M4" s="502"/>
      <c r="N4" s="502"/>
      <c r="O4" s="502"/>
      <c r="P4" s="502"/>
      <c r="Q4" s="502"/>
      <c r="R4" s="502"/>
      <c r="S4" s="502"/>
      <c r="T4" s="502"/>
      <c r="U4" s="502"/>
      <c r="V4" s="502"/>
      <c r="W4" s="502"/>
      <c r="X4" s="502"/>
      <c r="Y4" s="16"/>
      <c r="Z4" s="16"/>
    </row>
    <row r="5" spans="1:56" s="54" customFormat="1" ht="7.9" customHeight="1" x14ac:dyDescent="0.2">
      <c r="A5" s="549"/>
      <c r="B5" s="549"/>
      <c r="C5" s="675"/>
      <c r="D5" s="271"/>
      <c r="E5" s="263"/>
      <c r="F5" s="58"/>
      <c r="G5" s="58"/>
      <c r="H5" s="62"/>
      <c r="I5" s="58"/>
      <c r="J5" s="66"/>
      <c r="K5" s="58"/>
      <c r="L5" s="503"/>
      <c r="M5" s="69"/>
      <c r="N5" s="340"/>
      <c r="O5" s="340"/>
      <c r="P5" s="340"/>
      <c r="Q5" s="340"/>
      <c r="R5" s="340"/>
      <c r="S5" s="340"/>
      <c r="T5" s="340"/>
      <c r="U5" s="340"/>
      <c r="V5" s="340"/>
      <c r="W5" s="340"/>
      <c r="X5" s="340"/>
      <c r="Y5" s="60"/>
      <c r="Z5" s="60"/>
    </row>
    <row r="6" spans="1:56" s="60" customFormat="1" ht="15" customHeight="1" x14ac:dyDescent="0.2">
      <c r="A6" s="549"/>
      <c r="B6" s="549"/>
      <c r="C6" s="675"/>
      <c r="D6" s="271"/>
      <c r="E6" s="263"/>
      <c r="F6" s="520"/>
      <c r="G6" s="520"/>
      <c r="H6" s="131" t="s">
        <v>142</v>
      </c>
      <c r="I6" s="520"/>
      <c r="J6" s="503" t="s">
        <v>89</v>
      </c>
      <c r="K6" s="520"/>
      <c r="L6" s="503"/>
      <c r="M6" s="69"/>
      <c r="N6" s="340"/>
      <c r="O6" s="340"/>
      <c r="P6" s="340"/>
      <c r="Q6" s="340"/>
      <c r="R6" s="60" t="s">
        <v>305</v>
      </c>
      <c r="T6" s="60" t="s">
        <v>268</v>
      </c>
      <c r="V6" s="705" t="s">
        <v>187</v>
      </c>
      <c r="W6" s="705"/>
      <c r="X6" s="705"/>
      <c r="AC6" s="520"/>
      <c r="AD6" s="520"/>
      <c r="AE6" s="131" t="s">
        <v>142</v>
      </c>
      <c r="AF6" s="520"/>
      <c r="AG6" s="503" t="s">
        <v>89</v>
      </c>
      <c r="AS6" s="60" t="s">
        <v>371</v>
      </c>
      <c r="AU6" s="60" t="s">
        <v>412</v>
      </c>
      <c r="AW6" s="60" t="s">
        <v>92</v>
      </c>
      <c r="AY6" s="60" t="s">
        <v>410</v>
      </c>
    </row>
    <row r="7" spans="1:56" s="60" customFormat="1" ht="11.85" customHeight="1" x14ac:dyDescent="0.2">
      <c r="A7" s="549"/>
      <c r="B7" s="549"/>
      <c r="C7" s="675"/>
      <c r="D7" s="521" t="s">
        <v>90</v>
      </c>
      <c r="E7" s="268"/>
      <c r="F7" s="269"/>
      <c r="G7" s="59"/>
      <c r="H7" s="522" t="s">
        <v>88</v>
      </c>
      <c r="I7" s="520"/>
      <c r="J7" s="504" t="s">
        <v>271</v>
      </c>
      <c r="K7" s="520"/>
      <c r="L7" s="504" t="s">
        <v>146</v>
      </c>
      <c r="M7" s="69"/>
      <c r="N7" s="505" t="s">
        <v>147</v>
      </c>
      <c r="O7" s="69"/>
      <c r="P7" s="505" t="s">
        <v>148</v>
      </c>
      <c r="Q7" s="69"/>
      <c r="R7" s="505" t="s">
        <v>95</v>
      </c>
      <c r="S7" s="69"/>
      <c r="T7" s="505" t="s">
        <v>269</v>
      </c>
      <c r="U7" s="69"/>
      <c r="V7" s="505" t="s">
        <v>91</v>
      </c>
      <c r="W7" s="69"/>
      <c r="X7" s="505" t="s">
        <v>305</v>
      </c>
      <c r="AC7" s="523" t="s">
        <v>90</v>
      </c>
      <c r="AD7" s="59"/>
      <c r="AE7" s="522" t="s">
        <v>88</v>
      </c>
      <c r="AF7" s="520"/>
      <c r="AG7" s="504" t="s">
        <v>271</v>
      </c>
      <c r="AI7" s="500" t="s">
        <v>368</v>
      </c>
      <c r="AK7" s="500" t="s">
        <v>369</v>
      </c>
      <c r="AM7" s="500" t="s">
        <v>370</v>
      </c>
      <c r="AO7" s="500" t="s">
        <v>325</v>
      </c>
      <c r="AQ7" s="500" t="s">
        <v>275</v>
      </c>
      <c r="AS7" s="500" t="s">
        <v>372</v>
      </c>
      <c r="AU7" s="500" t="s">
        <v>413</v>
      </c>
      <c r="AW7" s="500" t="s">
        <v>271</v>
      </c>
      <c r="AY7" s="500" t="s">
        <v>271</v>
      </c>
    </row>
    <row r="8" spans="1:56" s="64" customFormat="1" ht="14.25" customHeight="1" x14ac:dyDescent="0.2">
      <c r="A8" s="679"/>
      <c r="B8" s="679"/>
      <c r="C8" s="675"/>
      <c r="D8" s="702" t="s">
        <v>143</v>
      </c>
      <c r="E8" s="703"/>
      <c r="F8" s="703"/>
      <c r="G8" s="61"/>
      <c r="H8" s="524">
        <v>-2</v>
      </c>
      <c r="I8" s="131"/>
      <c r="J8" s="503">
        <v>-3</v>
      </c>
      <c r="K8" s="131"/>
      <c r="L8" s="503">
        <v>-4</v>
      </c>
      <c r="M8" s="69"/>
      <c r="N8" s="69">
        <v>-5</v>
      </c>
      <c r="O8" s="69"/>
      <c r="P8" s="69">
        <v>-6</v>
      </c>
      <c r="Q8" s="69"/>
      <c r="R8" s="69">
        <v>-7</v>
      </c>
      <c r="S8" s="69"/>
      <c r="T8" s="69">
        <v>-8</v>
      </c>
      <c r="U8" s="69"/>
      <c r="V8" s="69">
        <v>-9</v>
      </c>
      <c r="W8" s="69"/>
      <c r="X8" s="69">
        <v>-10</v>
      </c>
      <c r="AC8" s="524">
        <v>-1</v>
      </c>
      <c r="AD8" s="61"/>
      <c r="AE8" s="524">
        <v>-2</v>
      </c>
      <c r="AF8" s="131"/>
      <c r="AG8" s="503">
        <v>-3</v>
      </c>
      <c r="AH8" s="61"/>
      <c r="AI8" s="524">
        <v>-4</v>
      </c>
      <c r="AJ8" s="131"/>
      <c r="AK8" s="503">
        <v>-5</v>
      </c>
      <c r="AL8" s="61"/>
      <c r="AM8" s="524">
        <v>-6</v>
      </c>
      <c r="AN8" s="131"/>
      <c r="AO8" s="503">
        <v>-7</v>
      </c>
      <c r="AP8" s="61"/>
      <c r="AQ8" s="524">
        <v>-8</v>
      </c>
      <c r="AR8" s="131"/>
      <c r="AS8" s="503">
        <v>-9</v>
      </c>
      <c r="AT8" s="61"/>
      <c r="AU8" s="524">
        <v>-10</v>
      </c>
      <c r="AV8" s="131"/>
      <c r="AW8" s="503">
        <v>-11</v>
      </c>
      <c r="AX8" s="61"/>
      <c r="AY8" s="524">
        <v>-12</v>
      </c>
    </row>
    <row r="9" spans="1:56" s="60" customFormat="1" ht="9" customHeight="1" x14ac:dyDescent="0.2">
      <c r="A9" s="549"/>
      <c r="B9" s="549"/>
      <c r="C9" s="675"/>
      <c r="D9" s="272"/>
      <c r="E9" s="264"/>
      <c r="F9" s="59"/>
      <c r="G9" s="59"/>
      <c r="H9" s="524"/>
      <c r="I9" s="520"/>
      <c r="J9" s="503"/>
      <c r="K9" s="520"/>
      <c r="L9" s="503"/>
      <c r="M9" s="69"/>
      <c r="N9" s="69"/>
      <c r="O9" s="69"/>
      <c r="P9" s="69"/>
      <c r="Q9" s="69"/>
      <c r="R9" s="69"/>
      <c r="S9" s="69"/>
      <c r="T9" s="69"/>
      <c r="U9" s="69"/>
      <c r="V9" s="69"/>
      <c r="W9" s="69"/>
      <c r="X9" s="69"/>
    </row>
    <row r="10" spans="1:56" s="340" customFormat="1" x14ac:dyDescent="0.2">
      <c r="A10" s="551"/>
      <c r="B10" s="551"/>
      <c r="C10" s="516"/>
      <c r="D10" s="273"/>
      <c r="E10" s="94"/>
      <c r="F10" s="219" t="s">
        <v>87</v>
      </c>
      <c r="G10" s="55"/>
      <c r="H10" s="131"/>
      <c r="I10" s="97"/>
      <c r="J10" s="132"/>
      <c r="K10" s="97"/>
      <c r="L10" s="132"/>
      <c r="M10" s="67"/>
      <c r="N10" s="67"/>
      <c r="O10" s="67"/>
      <c r="P10" s="67"/>
      <c r="Q10" s="67"/>
      <c r="R10" s="67"/>
      <c r="S10" s="67"/>
      <c r="T10" s="67"/>
      <c r="U10" s="67"/>
      <c r="V10" s="67"/>
      <c r="W10" s="67"/>
      <c r="X10" s="67"/>
      <c r="AC10" s="219" t="s">
        <v>87</v>
      </c>
    </row>
    <row r="11" spans="1:56" s="340" customFormat="1" ht="7.9" customHeight="1" x14ac:dyDescent="0.2">
      <c r="A11" s="551"/>
      <c r="B11" s="551"/>
      <c r="C11" s="516"/>
      <c r="D11" s="273"/>
      <c r="E11" s="94"/>
      <c r="F11" s="55" t="s">
        <v>351</v>
      </c>
      <c r="G11" s="55"/>
      <c r="H11" s="131"/>
      <c r="I11" s="97"/>
      <c r="J11" s="132"/>
      <c r="K11" s="97"/>
      <c r="L11" s="132"/>
      <c r="M11" s="67"/>
      <c r="N11" s="67"/>
      <c r="O11" s="67"/>
      <c r="P11" s="67"/>
      <c r="Q11" s="67"/>
      <c r="R11" s="67"/>
      <c r="S11" s="67"/>
      <c r="T11" s="67"/>
      <c r="U11" s="67"/>
      <c r="V11" s="67"/>
      <c r="W11" s="67"/>
      <c r="X11" s="67"/>
      <c r="AC11" s="55" t="s">
        <v>351</v>
      </c>
    </row>
    <row r="12" spans="1:56" s="340" customFormat="1" x14ac:dyDescent="0.2">
      <c r="A12" s="551"/>
      <c r="B12" s="551"/>
      <c r="C12" s="516"/>
      <c r="D12" s="273"/>
      <c r="E12" s="94"/>
      <c r="F12" s="219" t="s">
        <v>86</v>
      </c>
      <c r="G12" s="55"/>
      <c r="H12" s="131"/>
      <c r="I12" s="97"/>
      <c r="J12" s="132"/>
      <c r="K12" s="97"/>
      <c r="L12" s="132"/>
      <c r="M12" s="67"/>
      <c r="N12" s="67"/>
      <c r="O12" s="67"/>
      <c r="P12" s="67"/>
      <c r="Q12" s="67"/>
      <c r="R12" s="67"/>
      <c r="S12" s="67"/>
      <c r="T12" s="67"/>
      <c r="U12" s="67"/>
      <c r="V12" s="67"/>
      <c r="W12" s="67"/>
      <c r="X12" s="67"/>
      <c r="AC12" s="97" t="s">
        <v>86</v>
      </c>
    </row>
    <row r="13" spans="1:56" s="340" customFormat="1" x14ac:dyDescent="0.2">
      <c r="A13" s="551"/>
      <c r="B13" s="551"/>
      <c r="C13" s="516"/>
      <c r="D13" s="273"/>
      <c r="E13" s="94"/>
      <c r="F13" s="97" t="s">
        <v>39</v>
      </c>
      <c r="G13" s="90"/>
      <c r="H13" s="131"/>
      <c r="I13" s="97"/>
      <c r="J13" s="648"/>
      <c r="K13" s="648"/>
      <c r="L13" s="648"/>
      <c r="M13" s="649"/>
      <c r="N13" s="648"/>
      <c r="O13" s="649"/>
      <c r="P13" s="648"/>
      <c r="Q13" s="649"/>
      <c r="R13" s="648"/>
      <c r="S13" s="649"/>
      <c r="T13" s="648"/>
      <c r="U13" s="649"/>
      <c r="V13" s="648"/>
      <c r="W13" s="649"/>
      <c r="X13" s="648"/>
      <c r="Z13" s="82"/>
      <c r="AC13" s="97" t="s">
        <v>39</v>
      </c>
      <c r="AE13" s="112"/>
      <c r="AG13" s="67"/>
      <c r="AI13" s="132"/>
      <c r="AJ13" s="132"/>
      <c r="AK13" s="132"/>
      <c r="AL13" s="132"/>
      <c r="AM13" s="132"/>
      <c r="AN13" s="132"/>
      <c r="AO13" s="132"/>
      <c r="AP13" s="132"/>
      <c r="AQ13" s="132"/>
      <c r="AR13" s="132"/>
      <c r="AS13" s="132"/>
      <c r="AT13" s="132"/>
      <c r="AU13" s="132"/>
      <c r="AV13" s="132"/>
      <c r="AW13" s="132"/>
      <c r="AX13" s="132"/>
      <c r="AY13" s="132"/>
      <c r="BA13" s="82"/>
    </row>
    <row r="14" spans="1:56" s="340" customFormat="1" x14ac:dyDescent="0.2">
      <c r="A14" s="551"/>
      <c r="B14" s="551"/>
      <c r="C14" s="516"/>
      <c r="D14" s="273">
        <v>610.1</v>
      </c>
      <c r="E14" s="94"/>
      <c r="F14" s="97" t="s">
        <v>417</v>
      </c>
      <c r="G14" s="90"/>
      <c r="H14" s="131">
        <v>1</v>
      </c>
      <c r="I14" s="97"/>
      <c r="J14" s="650">
        <v>252496</v>
      </c>
      <c r="K14" s="648"/>
      <c r="L14" s="648">
        <f t="shared" ref="L14:L21" si="0">(VLOOKUP($H14,Factors,L$378))*$J14</f>
        <v>121400.0768</v>
      </c>
      <c r="M14" s="649"/>
      <c r="N14" s="648">
        <f t="shared" ref="N14:N21" si="1">(VLOOKUP($H14,Factors,N$378))*$J14</f>
        <v>81884.452799999999</v>
      </c>
      <c r="O14" s="649"/>
      <c r="P14" s="648">
        <f t="shared" ref="P14:P21" si="2">(VLOOKUP($H14,Factors,P$378))*$J14</f>
        <v>13306.539199999999</v>
      </c>
      <c r="Q14" s="649"/>
      <c r="R14" s="648">
        <f t="shared" ref="R14:R21" si="3">(VLOOKUP($H14,Factors,R$378))*$J14</f>
        <v>25123.352000000003</v>
      </c>
      <c r="S14" s="649"/>
      <c r="T14" s="648">
        <f t="shared" ref="T14:T21" si="4">(VLOOKUP($H14,Factors,T$378))*$J14</f>
        <v>9190.8544000000002</v>
      </c>
      <c r="U14" s="649"/>
      <c r="V14" s="648">
        <f t="shared" ref="V14:V21" si="5">(VLOOKUP($H14,Factors,V$378))*$J14</f>
        <v>782.73759999999993</v>
      </c>
      <c r="W14" s="649"/>
      <c r="X14" s="648">
        <f t="shared" ref="X14:X21" si="6">(VLOOKUP($H14,Factors,X$378))*$J14</f>
        <v>807.98720000000003</v>
      </c>
      <c r="Y14" s="94"/>
      <c r="Z14" s="94">
        <f t="shared" ref="Z14:Z77" si="7">SUM(L14:X14)-J14</f>
        <v>0</v>
      </c>
      <c r="AC14" s="97" t="s">
        <v>417</v>
      </c>
      <c r="AE14" s="112">
        <f t="shared" ref="AE14:AE21" si="8">+H14</f>
        <v>1</v>
      </c>
      <c r="AG14" s="550">
        <f t="shared" ref="AG14:AG21" si="9">+J14</f>
        <v>252496</v>
      </c>
      <c r="AH14" s="130"/>
      <c r="AI14" s="130">
        <f t="shared" ref="AI14:AI21" si="10">(VLOOKUP($AE14,func,AI$378))*$AG14</f>
        <v>250905.2752</v>
      </c>
      <c r="AJ14" s="94"/>
      <c r="AK14" s="130">
        <f t="shared" ref="AK14:AK21" si="11">(VLOOKUP($AE14,func,AK$378))*$AG14</f>
        <v>0</v>
      </c>
      <c r="AL14" s="94"/>
      <c r="AM14" s="130">
        <f t="shared" ref="AM14:AM21" si="12">(VLOOKUP($AE14,func,AM$378))*$AG14</f>
        <v>0</v>
      </c>
      <c r="AN14" s="94"/>
      <c r="AO14" s="130">
        <f t="shared" ref="AO14:AO21" si="13">(VLOOKUP($AE14,func,AO$378))*$AG14</f>
        <v>0</v>
      </c>
      <c r="AP14" s="94"/>
      <c r="AQ14" s="130">
        <f t="shared" ref="AQ14:AQ21" si="14">(VLOOKUP($AE14,func,AQ$378))*$AG14</f>
        <v>0</v>
      </c>
      <c r="AR14" s="94"/>
      <c r="AS14" s="130">
        <f t="shared" ref="AS14:AS21" si="15">(VLOOKUP($AE14,func,AS$378))*$AG14</f>
        <v>0</v>
      </c>
      <c r="AT14" s="94"/>
      <c r="AU14" s="130">
        <f t="shared" ref="AU14:AU21" si="16">(VLOOKUP($AE14,func,AU$378))*$AG14</f>
        <v>0</v>
      </c>
      <c r="AV14" s="130"/>
      <c r="AW14" s="130">
        <f t="shared" ref="AW14:AW21" si="17">(VLOOKUP($AE14,func,AW$378))*$AG14</f>
        <v>782.73759999999993</v>
      </c>
      <c r="AX14" s="130"/>
      <c r="AY14" s="130">
        <f t="shared" ref="AY14:AY21" si="18">(VLOOKUP($AE14,func,AY$378))*$AG14</f>
        <v>807.98720000000003</v>
      </c>
      <c r="BA14" s="82">
        <f t="shared" ref="BA14:BA64" si="19">SUM(AI14:AY14)-AG14</f>
        <v>0</v>
      </c>
      <c r="BB14" s="67"/>
      <c r="BC14" s="67"/>
      <c r="BD14" s="67"/>
    </row>
    <row r="15" spans="1:56" s="340" customFormat="1" x14ac:dyDescent="0.2">
      <c r="A15" s="551"/>
      <c r="B15" s="551"/>
      <c r="C15" s="516"/>
      <c r="D15" s="273">
        <v>615.1</v>
      </c>
      <c r="E15" s="94"/>
      <c r="F15" s="97" t="s">
        <v>418</v>
      </c>
      <c r="G15" s="90"/>
      <c r="H15" s="131">
        <v>1</v>
      </c>
      <c r="I15" s="97"/>
      <c r="J15" s="550">
        <v>69240.170000000013</v>
      </c>
      <c r="K15" s="130"/>
      <c r="L15" s="130">
        <f t="shared" si="0"/>
        <v>33290.673736000004</v>
      </c>
      <c r="M15" s="94"/>
      <c r="N15" s="130">
        <f t="shared" si="1"/>
        <v>22454.587131000004</v>
      </c>
      <c r="O15" s="94"/>
      <c r="P15" s="130">
        <f t="shared" si="2"/>
        <v>3648.9569590000006</v>
      </c>
      <c r="Q15" s="94"/>
      <c r="R15" s="130">
        <f t="shared" si="3"/>
        <v>6889.3969150000021</v>
      </c>
      <c r="S15" s="94"/>
      <c r="T15" s="130">
        <f t="shared" si="4"/>
        <v>2520.3421880000005</v>
      </c>
      <c r="U15" s="94"/>
      <c r="V15" s="130">
        <f t="shared" si="5"/>
        <v>214.64452700000004</v>
      </c>
      <c r="W15" s="94"/>
      <c r="X15" s="130">
        <f t="shared" si="6"/>
        <v>221.56854400000006</v>
      </c>
      <c r="Y15" s="94"/>
      <c r="Z15" s="94">
        <f t="shared" si="7"/>
        <v>0</v>
      </c>
      <c r="AC15" s="97" t="s">
        <v>418</v>
      </c>
      <c r="AE15" s="112">
        <f t="shared" si="8"/>
        <v>1</v>
      </c>
      <c r="AG15" s="550">
        <f t="shared" si="9"/>
        <v>69240.170000000013</v>
      </c>
      <c r="AH15" s="130"/>
      <c r="AI15" s="130">
        <f t="shared" si="10"/>
        <v>68803.956929000022</v>
      </c>
      <c r="AJ15" s="94"/>
      <c r="AK15" s="130">
        <f t="shared" si="11"/>
        <v>0</v>
      </c>
      <c r="AL15" s="94"/>
      <c r="AM15" s="130">
        <f t="shared" si="12"/>
        <v>0</v>
      </c>
      <c r="AN15" s="94"/>
      <c r="AO15" s="130">
        <f t="shared" si="13"/>
        <v>0</v>
      </c>
      <c r="AP15" s="94"/>
      <c r="AQ15" s="130">
        <f t="shared" si="14"/>
        <v>0</v>
      </c>
      <c r="AR15" s="94"/>
      <c r="AS15" s="130">
        <f t="shared" si="15"/>
        <v>0</v>
      </c>
      <c r="AT15" s="94"/>
      <c r="AU15" s="130">
        <f t="shared" si="16"/>
        <v>0</v>
      </c>
      <c r="AV15" s="130"/>
      <c r="AW15" s="130">
        <f t="shared" si="17"/>
        <v>214.64452700000004</v>
      </c>
      <c r="AX15" s="130"/>
      <c r="AY15" s="130">
        <f t="shared" si="18"/>
        <v>221.56854400000006</v>
      </c>
      <c r="BA15" s="82">
        <f t="shared" si="19"/>
        <v>0</v>
      </c>
      <c r="BB15" s="67"/>
      <c r="BC15" s="67"/>
      <c r="BD15" s="67"/>
    </row>
    <row r="16" spans="1:56" s="340" customFormat="1" x14ac:dyDescent="0.2">
      <c r="A16" s="551"/>
      <c r="B16" s="551"/>
      <c r="C16" s="516"/>
      <c r="D16" s="273">
        <v>616.1</v>
      </c>
      <c r="E16" s="94"/>
      <c r="F16" s="97" t="s">
        <v>633</v>
      </c>
      <c r="G16" s="90"/>
      <c r="H16" s="131">
        <v>2</v>
      </c>
      <c r="I16" s="97"/>
      <c r="J16" s="550">
        <v>0</v>
      </c>
      <c r="K16" s="130"/>
      <c r="L16" s="130">
        <f t="shared" si="0"/>
        <v>0</v>
      </c>
      <c r="M16" s="94"/>
      <c r="N16" s="130">
        <f t="shared" si="1"/>
        <v>0</v>
      </c>
      <c r="O16" s="94"/>
      <c r="P16" s="130">
        <f t="shared" si="2"/>
        <v>0</v>
      </c>
      <c r="Q16" s="94"/>
      <c r="R16" s="130">
        <f t="shared" si="3"/>
        <v>0</v>
      </c>
      <c r="S16" s="94"/>
      <c r="T16" s="130">
        <f t="shared" si="4"/>
        <v>0</v>
      </c>
      <c r="U16" s="94"/>
      <c r="V16" s="130">
        <f t="shared" si="5"/>
        <v>0</v>
      </c>
      <c r="W16" s="94"/>
      <c r="X16" s="130">
        <f t="shared" si="6"/>
        <v>0</v>
      </c>
      <c r="Y16" s="94"/>
      <c r="Z16" s="94">
        <f t="shared" si="7"/>
        <v>0</v>
      </c>
      <c r="AC16" s="97" t="s">
        <v>633</v>
      </c>
      <c r="AE16" s="112">
        <v>1</v>
      </c>
      <c r="AG16" s="550">
        <f t="shared" si="9"/>
        <v>0</v>
      </c>
      <c r="AH16" s="130"/>
      <c r="AI16" s="130">
        <f t="shared" si="10"/>
        <v>0</v>
      </c>
      <c r="AJ16" s="94"/>
      <c r="AK16" s="130">
        <f t="shared" si="11"/>
        <v>0</v>
      </c>
      <c r="AL16" s="94"/>
      <c r="AM16" s="130">
        <f t="shared" si="12"/>
        <v>0</v>
      </c>
      <c r="AN16" s="94"/>
      <c r="AO16" s="130">
        <f t="shared" si="13"/>
        <v>0</v>
      </c>
      <c r="AP16" s="94"/>
      <c r="AQ16" s="130">
        <f t="shared" si="14"/>
        <v>0</v>
      </c>
      <c r="AR16" s="94"/>
      <c r="AS16" s="130">
        <f t="shared" si="15"/>
        <v>0</v>
      </c>
      <c r="AT16" s="94"/>
      <c r="AU16" s="130">
        <f t="shared" si="16"/>
        <v>0</v>
      </c>
      <c r="AV16" s="130"/>
      <c r="AW16" s="130">
        <f t="shared" si="17"/>
        <v>0</v>
      </c>
      <c r="AX16" s="130"/>
      <c r="AY16" s="130">
        <f t="shared" si="18"/>
        <v>0</v>
      </c>
      <c r="BA16" s="82">
        <f t="shared" ref="BA16" si="20">SUM(AI16:AY16)-AG16</f>
        <v>0</v>
      </c>
      <c r="BB16" s="67"/>
      <c r="BC16" s="67"/>
      <c r="BD16" s="67"/>
    </row>
    <row r="17" spans="1:56" s="340" customFormat="1" x14ac:dyDescent="0.2">
      <c r="A17" s="551"/>
      <c r="B17" s="551"/>
      <c r="C17" s="516"/>
      <c r="D17" s="273">
        <v>675.1</v>
      </c>
      <c r="E17" s="94"/>
      <c r="F17" s="97" t="s">
        <v>478</v>
      </c>
      <c r="G17" s="90"/>
      <c r="H17" s="131">
        <v>2</v>
      </c>
      <c r="I17" s="97"/>
      <c r="J17" s="550">
        <v>17691</v>
      </c>
      <c r="K17" s="130"/>
      <c r="L17" s="130">
        <f t="shared" si="0"/>
        <v>8866.7291999999998</v>
      </c>
      <c r="M17" s="94"/>
      <c r="N17" s="130">
        <f t="shared" si="1"/>
        <v>5710.6547999999993</v>
      </c>
      <c r="O17" s="94"/>
      <c r="P17" s="130">
        <f t="shared" si="2"/>
        <v>840.32249999999999</v>
      </c>
      <c r="Q17" s="94"/>
      <c r="R17" s="130">
        <f t="shared" si="3"/>
        <v>1629.3411000000001</v>
      </c>
      <c r="S17" s="94"/>
      <c r="T17" s="130">
        <f t="shared" si="4"/>
        <v>580.26479999999992</v>
      </c>
      <c r="U17" s="94"/>
      <c r="V17" s="130">
        <f t="shared" si="5"/>
        <v>31.843799999999998</v>
      </c>
      <c r="W17" s="94"/>
      <c r="X17" s="130">
        <f t="shared" si="6"/>
        <v>31.843799999999998</v>
      </c>
      <c r="Y17" s="94"/>
      <c r="Z17" s="94">
        <f t="shared" si="7"/>
        <v>0</v>
      </c>
      <c r="AC17" s="97" t="s">
        <v>478</v>
      </c>
      <c r="AE17" s="112">
        <f t="shared" si="8"/>
        <v>2</v>
      </c>
      <c r="AG17" s="550">
        <f t="shared" si="9"/>
        <v>17691</v>
      </c>
      <c r="AH17" s="130"/>
      <c r="AI17" s="130">
        <f t="shared" si="10"/>
        <v>10044.9498</v>
      </c>
      <c r="AJ17" s="94"/>
      <c r="AK17" s="130">
        <f t="shared" si="11"/>
        <v>7582.3625999999995</v>
      </c>
      <c r="AL17" s="94"/>
      <c r="AM17" s="130">
        <f t="shared" si="12"/>
        <v>0</v>
      </c>
      <c r="AN17" s="94"/>
      <c r="AO17" s="130">
        <f t="shared" si="13"/>
        <v>0</v>
      </c>
      <c r="AP17" s="94"/>
      <c r="AQ17" s="130">
        <f t="shared" si="14"/>
        <v>0</v>
      </c>
      <c r="AR17" s="94"/>
      <c r="AS17" s="130">
        <f t="shared" si="15"/>
        <v>0</v>
      </c>
      <c r="AT17" s="94"/>
      <c r="AU17" s="130">
        <f t="shared" si="16"/>
        <v>0</v>
      </c>
      <c r="AV17" s="130"/>
      <c r="AW17" s="130">
        <f t="shared" si="17"/>
        <v>31.843799999999998</v>
      </c>
      <c r="AX17" s="130"/>
      <c r="AY17" s="130">
        <f t="shared" si="18"/>
        <v>31.843799999999998</v>
      </c>
      <c r="BA17" s="82">
        <f t="shared" ref="BA17:BA20" si="21">SUM(AI17:AY17)-AG17</f>
        <v>0</v>
      </c>
      <c r="BB17" s="67"/>
      <c r="BC17" s="67"/>
      <c r="BD17" s="67"/>
    </row>
    <row r="18" spans="1:56" s="340" customFormat="1" x14ac:dyDescent="0.2">
      <c r="A18" s="551"/>
      <c r="B18" s="551"/>
      <c r="C18" s="495"/>
      <c r="D18" s="273">
        <v>675.1</v>
      </c>
      <c r="E18" s="94"/>
      <c r="F18" s="97" t="s">
        <v>634</v>
      </c>
      <c r="G18" s="90"/>
      <c r="H18" s="131">
        <v>2</v>
      </c>
      <c r="I18" s="97"/>
      <c r="J18" s="550">
        <v>9283</v>
      </c>
      <c r="K18" s="130"/>
      <c r="L18" s="130">
        <f t="shared" si="0"/>
        <v>4652.6395999999995</v>
      </c>
      <c r="M18" s="94"/>
      <c r="N18" s="130">
        <f t="shared" si="1"/>
        <v>2996.5523999999996</v>
      </c>
      <c r="O18" s="94"/>
      <c r="P18" s="130">
        <f t="shared" si="2"/>
        <v>440.9425</v>
      </c>
      <c r="Q18" s="94"/>
      <c r="R18" s="130">
        <f t="shared" si="3"/>
        <v>854.96429999999998</v>
      </c>
      <c r="S18" s="94"/>
      <c r="T18" s="130">
        <f t="shared" si="4"/>
        <v>304.48239999999998</v>
      </c>
      <c r="U18" s="94"/>
      <c r="V18" s="130">
        <f t="shared" si="5"/>
        <v>16.709399999999999</v>
      </c>
      <c r="W18" s="94"/>
      <c r="X18" s="130">
        <f t="shared" si="6"/>
        <v>16.709399999999999</v>
      </c>
      <c r="Y18" s="94"/>
      <c r="Z18" s="94">
        <f t="shared" si="7"/>
        <v>0</v>
      </c>
      <c r="AC18" s="97" t="s">
        <v>634</v>
      </c>
      <c r="AE18" s="112">
        <f t="shared" si="8"/>
        <v>2</v>
      </c>
      <c r="AG18" s="550">
        <f t="shared" si="9"/>
        <v>9283</v>
      </c>
      <c r="AH18" s="130"/>
      <c r="AI18" s="130">
        <f t="shared" si="10"/>
        <v>5270.8873999999996</v>
      </c>
      <c r="AJ18" s="94"/>
      <c r="AK18" s="130">
        <f t="shared" si="11"/>
        <v>3978.6938</v>
      </c>
      <c r="AL18" s="94"/>
      <c r="AM18" s="130">
        <f t="shared" si="12"/>
        <v>0</v>
      </c>
      <c r="AN18" s="94"/>
      <c r="AO18" s="130">
        <f t="shared" si="13"/>
        <v>0</v>
      </c>
      <c r="AP18" s="94"/>
      <c r="AQ18" s="130">
        <f t="shared" si="14"/>
        <v>0</v>
      </c>
      <c r="AR18" s="94"/>
      <c r="AS18" s="130">
        <f t="shared" si="15"/>
        <v>0</v>
      </c>
      <c r="AT18" s="94"/>
      <c r="AU18" s="130">
        <f t="shared" si="16"/>
        <v>0</v>
      </c>
      <c r="AV18" s="130"/>
      <c r="AW18" s="130">
        <f t="shared" si="17"/>
        <v>16.709399999999999</v>
      </c>
      <c r="AX18" s="130"/>
      <c r="AY18" s="130">
        <f t="shared" si="18"/>
        <v>16.709399999999999</v>
      </c>
      <c r="BA18" s="82">
        <f t="shared" si="21"/>
        <v>0</v>
      </c>
      <c r="BB18" s="67"/>
      <c r="BC18" s="67"/>
      <c r="BD18" s="67"/>
    </row>
    <row r="19" spans="1:56" s="340" customFormat="1" x14ac:dyDescent="0.2">
      <c r="A19" s="551"/>
      <c r="B19" s="551"/>
      <c r="C19" s="516"/>
      <c r="D19" s="273">
        <v>675.1</v>
      </c>
      <c r="E19" s="94"/>
      <c r="F19" s="97" t="s">
        <v>600</v>
      </c>
      <c r="G19" s="90"/>
      <c r="H19" s="131">
        <v>2</v>
      </c>
      <c r="I19" s="97"/>
      <c r="J19" s="550">
        <v>27305</v>
      </c>
      <c r="K19" s="130"/>
      <c r="L19" s="130">
        <f t="shared" si="0"/>
        <v>13685.266</v>
      </c>
      <c r="M19" s="94"/>
      <c r="N19" s="130">
        <f t="shared" si="1"/>
        <v>8814.0540000000001</v>
      </c>
      <c r="O19" s="94"/>
      <c r="P19" s="130">
        <f t="shared" si="2"/>
        <v>1296.9875</v>
      </c>
      <c r="Q19" s="94"/>
      <c r="R19" s="130">
        <f t="shared" si="3"/>
        <v>2514.7905000000001</v>
      </c>
      <c r="S19" s="94"/>
      <c r="T19" s="130">
        <f t="shared" si="4"/>
        <v>895.60399999999993</v>
      </c>
      <c r="U19" s="94"/>
      <c r="V19" s="130">
        <f t="shared" si="5"/>
        <v>49.149000000000001</v>
      </c>
      <c r="W19" s="94"/>
      <c r="X19" s="130">
        <f t="shared" si="6"/>
        <v>49.149000000000001</v>
      </c>
      <c r="Y19" s="94"/>
      <c r="Z19" s="94">
        <f t="shared" si="7"/>
        <v>0</v>
      </c>
      <c r="AC19" s="97" t="s">
        <v>600</v>
      </c>
      <c r="AE19" s="112">
        <f t="shared" si="8"/>
        <v>2</v>
      </c>
      <c r="AG19" s="550">
        <f t="shared" si="9"/>
        <v>27305</v>
      </c>
      <c r="AH19" s="130"/>
      <c r="AI19" s="130">
        <f t="shared" si="10"/>
        <v>15503.778999999999</v>
      </c>
      <c r="AJ19" s="94"/>
      <c r="AK19" s="130">
        <f t="shared" si="11"/>
        <v>11702.922999999999</v>
      </c>
      <c r="AL19" s="94"/>
      <c r="AM19" s="130">
        <f t="shared" si="12"/>
        <v>0</v>
      </c>
      <c r="AN19" s="94"/>
      <c r="AO19" s="130">
        <f t="shared" si="13"/>
        <v>0</v>
      </c>
      <c r="AP19" s="94"/>
      <c r="AQ19" s="130">
        <f t="shared" si="14"/>
        <v>0</v>
      </c>
      <c r="AR19" s="94"/>
      <c r="AS19" s="130">
        <f t="shared" si="15"/>
        <v>0</v>
      </c>
      <c r="AT19" s="94"/>
      <c r="AU19" s="130">
        <f t="shared" si="16"/>
        <v>0</v>
      </c>
      <c r="AV19" s="130"/>
      <c r="AW19" s="130">
        <f t="shared" si="17"/>
        <v>49.149000000000001</v>
      </c>
      <c r="AX19" s="130"/>
      <c r="AY19" s="130">
        <f t="shared" si="18"/>
        <v>49.149000000000001</v>
      </c>
      <c r="BA19" s="82">
        <f t="shared" si="21"/>
        <v>0</v>
      </c>
      <c r="BB19" s="67"/>
      <c r="BC19" s="67"/>
      <c r="BD19" s="67"/>
    </row>
    <row r="20" spans="1:56" s="340" customFormat="1" x14ac:dyDescent="0.2">
      <c r="A20" s="551"/>
      <c r="B20" s="551"/>
      <c r="C20" s="495"/>
      <c r="D20" s="273">
        <v>675.1</v>
      </c>
      <c r="E20" s="94"/>
      <c r="F20" s="97" t="s">
        <v>419</v>
      </c>
      <c r="G20" s="90"/>
      <c r="H20" s="131">
        <v>2</v>
      </c>
      <c r="I20" s="97"/>
      <c r="J20" s="94">
        <v>74315</v>
      </c>
      <c r="K20" s="130"/>
      <c r="L20" s="130">
        <f t="shared" si="0"/>
        <v>37246.678</v>
      </c>
      <c r="M20" s="94"/>
      <c r="N20" s="130">
        <f t="shared" si="1"/>
        <v>23988.881999999998</v>
      </c>
      <c r="O20" s="94"/>
      <c r="P20" s="130">
        <f t="shared" si="2"/>
        <v>3529.9625000000001</v>
      </c>
      <c r="Q20" s="94"/>
      <c r="R20" s="130">
        <f t="shared" si="3"/>
        <v>6844.4115000000002</v>
      </c>
      <c r="S20" s="94"/>
      <c r="T20" s="130">
        <f t="shared" si="4"/>
        <v>2437.5319999999997</v>
      </c>
      <c r="U20" s="94"/>
      <c r="V20" s="130">
        <f t="shared" si="5"/>
        <v>133.767</v>
      </c>
      <c r="W20" s="94"/>
      <c r="X20" s="130">
        <f t="shared" si="6"/>
        <v>133.767</v>
      </c>
      <c r="Y20" s="94"/>
      <c r="Z20" s="94">
        <f t="shared" si="7"/>
        <v>0</v>
      </c>
      <c r="AC20" s="97" t="s">
        <v>419</v>
      </c>
      <c r="AE20" s="112">
        <f t="shared" si="8"/>
        <v>2</v>
      </c>
      <c r="AG20" s="550">
        <f t="shared" si="9"/>
        <v>74315</v>
      </c>
      <c r="AH20" s="130"/>
      <c r="AI20" s="130">
        <f t="shared" si="10"/>
        <v>42196.057000000001</v>
      </c>
      <c r="AJ20" s="94"/>
      <c r="AK20" s="130">
        <f t="shared" si="11"/>
        <v>31851.409</v>
      </c>
      <c r="AL20" s="94"/>
      <c r="AM20" s="130">
        <f t="shared" si="12"/>
        <v>0</v>
      </c>
      <c r="AN20" s="94"/>
      <c r="AO20" s="130">
        <f t="shared" si="13"/>
        <v>0</v>
      </c>
      <c r="AP20" s="94"/>
      <c r="AQ20" s="130">
        <f t="shared" si="14"/>
        <v>0</v>
      </c>
      <c r="AR20" s="94"/>
      <c r="AS20" s="130">
        <f t="shared" si="15"/>
        <v>0</v>
      </c>
      <c r="AT20" s="94"/>
      <c r="AU20" s="130">
        <f t="shared" si="16"/>
        <v>0</v>
      </c>
      <c r="AV20" s="130"/>
      <c r="AW20" s="130">
        <f t="shared" si="17"/>
        <v>133.767</v>
      </c>
      <c r="AX20" s="130"/>
      <c r="AY20" s="130">
        <f t="shared" si="18"/>
        <v>133.767</v>
      </c>
      <c r="BA20" s="82">
        <f t="shared" si="21"/>
        <v>0</v>
      </c>
      <c r="BB20" s="67"/>
      <c r="BC20" s="67"/>
      <c r="BD20" s="67"/>
    </row>
    <row r="21" spans="1:56" s="340" customFormat="1" x14ac:dyDescent="0.2">
      <c r="A21" s="551"/>
      <c r="B21" s="551"/>
      <c r="C21" s="516"/>
      <c r="D21" s="273">
        <v>675.1</v>
      </c>
      <c r="E21" s="94"/>
      <c r="F21" s="97" t="s">
        <v>519</v>
      </c>
      <c r="G21" s="90"/>
      <c r="H21" s="131">
        <v>2</v>
      </c>
      <c r="I21" s="97"/>
      <c r="J21" s="553">
        <v>52137</v>
      </c>
      <c r="K21" s="130"/>
      <c r="L21" s="506">
        <f t="shared" si="0"/>
        <v>26131.064399999999</v>
      </c>
      <c r="M21" s="130"/>
      <c r="N21" s="506">
        <f t="shared" si="1"/>
        <v>16829.8236</v>
      </c>
      <c r="O21" s="130"/>
      <c r="P21" s="506">
        <f t="shared" si="2"/>
        <v>2476.5075000000002</v>
      </c>
      <c r="Q21" s="130"/>
      <c r="R21" s="506">
        <f t="shared" si="3"/>
        <v>4801.8177000000005</v>
      </c>
      <c r="S21" s="130"/>
      <c r="T21" s="506">
        <f t="shared" si="4"/>
        <v>1710.0935999999997</v>
      </c>
      <c r="U21" s="130"/>
      <c r="V21" s="506">
        <f t="shared" si="5"/>
        <v>93.846599999999995</v>
      </c>
      <c r="W21" s="130"/>
      <c r="X21" s="506">
        <f t="shared" si="6"/>
        <v>93.846599999999995</v>
      </c>
      <c r="Y21" s="94"/>
      <c r="Z21" s="94">
        <f t="shared" si="7"/>
        <v>0</v>
      </c>
      <c r="AC21" s="97" t="s">
        <v>519</v>
      </c>
      <c r="AE21" s="112">
        <f t="shared" si="8"/>
        <v>2</v>
      </c>
      <c r="AG21" s="550">
        <f t="shared" si="9"/>
        <v>52137</v>
      </c>
      <c r="AH21" s="130"/>
      <c r="AI21" s="506">
        <f t="shared" si="10"/>
        <v>29603.388599999998</v>
      </c>
      <c r="AJ21" s="130"/>
      <c r="AK21" s="506">
        <f t="shared" si="11"/>
        <v>22345.9182</v>
      </c>
      <c r="AL21" s="130"/>
      <c r="AM21" s="506">
        <f t="shared" si="12"/>
        <v>0</v>
      </c>
      <c r="AN21" s="130"/>
      <c r="AO21" s="506">
        <f t="shared" si="13"/>
        <v>0</v>
      </c>
      <c r="AP21" s="130"/>
      <c r="AQ21" s="506">
        <f t="shared" si="14"/>
        <v>0</v>
      </c>
      <c r="AR21" s="130"/>
      <c r="AS21" s="506">
        <f t="shared" si="15"/>
        <v>0</v>
      </c>
      <c r="AT21" s="130"/>
      <c r="AU21" s="506">
        <f t="shared" si="16"/>
        <v>0</v>
      </c>
      <c r="AV21" s="130"/>
      <c r="AW21" s="506">
        <f t="shared" si="17"/>
        <v>93.846599999999995</v>
      </c>
      <c r="AX21" s="130"/>
      <c r="AY21" s="506">
        <f t="shared" si="18"/>
        <v>93.846599999999995</v>
      </c>
      <c r="BA21" s="82">
        <f t="shared" si="19"/>
        <v>0</v>
      </c>
      <c r="BB21" s="67"/>
      <c r="BC21" s="67"/>
      <c r="BD21" s="67"/>
    </row>
    <row r="22" spans="1:56" s="340" customFormat="1" x14ac:dyDescent="0.2">
      <c r="A22" s="551"/>
      <c r="B22" s="551"/>
      <c r="C22" s="516"/>
      <c r="D22" s="274"/>
      <c r="E22" s="265"/>
      <c r="F22" s="267"/>
      <c r="G22" s="90"/>
      <c r="H22" s="524"/>
      <c r="I22" s="97"/>
      <c r="J22" s="550"/>
      <c r="K22" s="267"/>
      <c r="L22" s="267"/>
      <c r="M22" s="265"/>
      <c r="N22" s="267"/>
      <c r="O22" s="265"/>
      <c r="P22" s="267"/>
      <c r="Q22" s="265"/>
      <c r="R22" s="267"/>
      <c r="S22" s="265"/>
      <c r="T22" s="267"/>
      <c r="U22" s="265"/>
      <c r="V22" s="267"/>
      <c r="W22" s="265"/>
      <c r="X22" s="267"/>
      <c r="Z22" s="94">
        <f t="shared" si="7"/>
        <v>0</v>
      </c>
      <c r="AC22" s="267"/>
      <c r="AD22" s="90"/>
      <c r="AE22" s="524"/>
      <c r="AF22" s="97"/>
      <c r="AG22" s="550"/>
      <c r="AH22" s="267"/>
      <c r="AI22" s="267"/>
      <c r="AJ22" s="265"/>
      <c r="AK22" s="267"/>
      <c r="AL22" s="265"/>
      <c r="AM22" s="267"/>
      <c r="AN22" s="265"/>
      <c r="AO22" s="267"/>
      <c r="AP22" s="265"/>
      <c r="AQ22" s="267"/>
      <c r="AR22" s="265"/>
      <c r="AS22" s="267"/>
      <c r="AT22" s="265"/>
      <c r="AU22" s="267"/>
      <c r="AV22" s="265"/>
      <c r="AW22" s="267"/>
      <c r="AX22" s="265"/>
      <c r="AY22" s="267"/>
      <c r="BA22" s="82">
        <f t="shared" si="19"/>
        <v>0</v>
      </c>
      <c r="BB22" s="67"/>
      <c r="BC22" s="67"/>
      <c r="BD22" s="67"/>
    </row>
    <row r="23" spans="1:56" s="340" customFormat="1" x14ac:dyDescent="0.2">
      <c r="A23" s="551"/>
      <c r="B23" s="551"/>
      <c r="C23" s="516"/>
      <c r="D23" s="274"/>
      <c r="E23" s="265"/>
      <c r="F23" s="97" t="s">
        <v>637</v>
      </c>
      <c r="G23" s="55"/>
      <c r="H23" s="131"/>
      <c r="I23" s="97"/>
      <c r="J23" s="550">
        <f>SUM(J14:J21)</f>
        <v>502467.17000000004</v>
      </c>
      <c r="K23" s="130"/>
      <c r="L23" s="130">
        <f>SUM(L14:L21)</f>
        <v>245273.12773600002</v>
      </c>
      <c r="M23" s="130"/>
      <c r="N23" s="130">
        <f>SUM(N14:N21)</f>
        <v>162679.00673100003</v>
      </c>
      <c r="O23" s="130"/>
      <c r="P23" s="130">
        <f>SUM(P14:P21)</f>
        <v>25540.218658999998</v>
      </c>
      <c r="Q23" s="130"/>
      <c r="R23" s="130">
        <f>SUM(R14:R21)</f>
        <v>48658.074015000006</v>
      </c>
      <c r="S23" s="130"/>
      <c r="T23" s="130">
        <f>SUM(T14:T21)</f>
        <v>17639.173387999999</v>
      </c>
      <c r="U23" s="130"/>
      <c r="V23" s="130">
        <f>SUM(V14:V21)</f>
        <v>1322.6979270000002</v>
      </c>
      <c r="W23" s="130"/>
      <c r="X23" s="130">
        <f>SUM(X14:X21)</f>
        <v>1354.8715440000001</v>
      </c>
      <c r="Y23" s="132"/>
      <c r="Z23" s="94">
        <f t="shared" si="7"/>
        <v>0</v>
      </c>
      <c r="AA23" s="132"/>
      <c r="AB23" s="132"/>
      <c r="AC23" s="97" t="s">
        <v>40</v>
      </c>
      <c r="AD23" s="55"/>
      <c r="AE23" s="131"/>
      <c r="AF23" s="97"/>
      <c r="AG23" s="553">
        <f>SUM(AG14:AG21)</f>
        <v>502467.17000000004</v>
      </c>
      <c r="AH23" s="130"/>
      <c r="AI23" s="506">
        <f>SUM(AI14:AI21)</f>
        <v>422328.29392899998</v>
      </c>
      <c r="AJ23" s="130"/>
      <c r="AK23" s="506">
        <f>SUM(AK14:AK21)</f>
        <v>77461.306599999996</v>
      </c>
      <c r="AL23" s="130"/>
      <c r="AM23" s="506">
        <f>SUM(AM14:AM21)</f>
        <v>0</v>
      </c>
      <c r="AN23" s="130"/>
      <c r="AO23" s="506">
        <f>SUM(AO14:AO21)</f>
        <v>0</v>
      </c>
      <c r="AP23" s="130"/>
      <c r="AQ23" s="506">
        <f>SUM(AQ14:AQ21)</f>
        <v>0</v>
      </c>
      <c r="AR23" s="130"/>
      <c r="AS23" s="506">
        <f>SUM(AS14:AS21)</f>
        <v>0</v>
      </c>
      <c r="AT23" s="130"/>
      <c r="AU23" s="506">
        <f>SUM(AU14:AU21)</f>
        <v>0</v>
      </c>
      <c r="AV23" s="130"/>
      <c r="AW23" s="506">
        <f>SUM(AW14:AW21)</f>
        <v>1322.6979270000002</v>
      </c>
      <c r="AX23" s="130"/>
      <c r="AY23" s="506">
        <f>SUM(AY14:AY21)</f>
        <v>1354.8715440000001</v>
      </c>
      <c r="AZ23" s="132"/>
      <c r="BA23" s="82">
        <f t="shared" si="19"/>
        <v>0</v>
      </c>
      <c r="BB23" s="67"/>
      <c r="BC23" s="67"/>
      <c r="BD23" s="67"/>
    </row>
    <row r="24" spans="1:56" s="340" customFormat="1" x14ac:dyDescent="0.2">
      <c r="A24" s="551"/>
      <c r="B24" s="551"/>
      <c r="C24" s="516"/>
      <c r="D24" s="274"/>
      <c r="E24" s="265"/>
      <c r="F24" s="267"/>
      <c r="G24" s="90"/>
      <c r="H24" s="524"/>
      <c r="I24" s="97"/>
      <c r="J24" s="550"/>
      <c r="K24" s="267"/>
      <c r="L24" s="267"/>
      <c r="M24" s="267"/>
      <c r="N24" s="267"/>
      <c r="O24" s="267"/>
      <c r="P24" s="267"/>
      <c r="Q24" s="267"/>
      <c r="R24" s="267"/>
      <c r="S24" s="267"/>
      <c r="T24" s="267"/>
      <c r="U24" s="267"/>
      <c r="V24" s="267"/>
      <c r="W24" s="267"/>
      <c r="X24" s="267"/>
      <c r="Z24" s="94">
        <f t="shared" si="7"/>
        <v>0</v>
      </c>
      <c r="AC24" s="267"/>
      <c r="AG24" s="550"/>
      <c r="AH24" s="267"/>
      <c r="AI24" s="267"/>
      <c r="AJ24" s="267"/>
      <c r="AK24" s="267"/>
      <c r="AL24" s="267"/>
      <c r="AM24" s="267"/>
      <c r="AN24" s="267"/>
      <c r="AO24" s="267"/>
      <c r="AP24" s="267"/>
      <c r="AQ24" s="267"/>
      <c r="AR24" s="267"/>
      <c r="AS24" s="267"/>
      <c r="AT24" s="267"/>
      <c r="AU24" s="267"/>
      <c r="AV24" s="267"/>
      <c r="AW24" s="267"/>
      <c r="AX24" s="267"/>
      <c r="AY24" s="267"/>
      <c r="BA24" s="82">
        <f t="shared" si="19"/>
        <v>0</v>
      </c>
      <c r="BB24" s="67"/>
      <c r="BC24" s="67"/>
      <c r="BD24" s="67"/>
    </row>
    <row r="25" spans="1:56" s="340" customFormat="1" x14ac:dyDescent="0.2">
      <c r="A25" s="551"/>
      <c r="B25" s="551"/>
      <c r="C25" s="516"/>
      <c r="D25" s="273"/>
      <c r="E25" s="94"/>
      <c r="F25" s="219" t="s">
        <v>85</v>
      </c>
      <c r="G25" s="55"/>
      <c r="H25" s="131"/>
      <c r="I25" s="97"/>
      <c r="J25" s="550"/>
      <c r="K25" s="267"/>
      <c r="L25" s="267"/>
      <c r="M25" s="267"/>
      <c r="N25" s="267"/>
      <c r="O25" s="267"/>
      <c r="P25" s="267"/>
      <c r="Q25" s="267"/>
      <c r="R25" s="267"/>
      <c r="S25" s="267"/>
      <c r="T25" s="267"/>
      <c r="U25" s="267"/>
      <c r="V25" s="267"/>
      <c r="W25" s="267"/>
      <c r="X25" s="267"/>
      <c r="Z25" s="94">
        <f t="shared" si="7"/>
        <v>0</v>
      </c>
      <c r="AC25" s="97" t="s">
        <v>85</v>
      </c>
      <c r="AG25" s="550"/>
      <c r="AH25" s="267"/>
      <c r="AI25" s="267"/>
      <c r="AJ25" s="267"/>
      <c r="AK25" s="267"/>
      <c r="AL25" s="267"/>
      <c r="AM25" s="267"/>
      <c r="AN25" s="267"/>
      <c r="AO25" s="267"/>
      <c r="AP25" s="267"/>
      <c r="AQ25" s="267"/>
      <c r="AR25" s="267"/>
      <c r="AS25" s="267"/>
      <c r="AT25" s="267"/>
      <c r="AU25" s="267"/>
      <c r="AV25" s="267"/>
      <c r="AW25" s="267"/>
      <c r="AX25" s="267"/>
      <c r="AY25" s="267"/>
      <c r="BA25" s="82">
        <f t="shared" si="19"/>
        <v>0</v>
      </c>
      <c r="BB25" s="67"/>
      <c r="BC25" s="67"/>
      <c r="BD25" s="67"/>
    </row>
    <row r="26" spans="1:56" s="340" customFormat="1" x14ac:dyDescent="0.2">
      <c r="A26" s="551"/>
      <c r="B26" s="517"/>
      <c r="C26" s="516"/>
      <c r="D26" s="273">
        <v>615.1</v>
      </c>
      <c r="E26" s="94"/>
      <c r="F26" s="97" t="s">
        <v>418</v>
      </c>
      <c r="G26" s="55"/>
      <c r="H26" s="131">
        <v>1</v>
      </c>
      <c r="I26" s="97"/>
      <c r="J26" s="515">
        <v>542830.80000000005</v>
      </c>
      <c r="K26" s="267"/>
      <c r="L26" s="515">
        <f>(VLOOKUP($H26,Factors,L$378))*$J26</f>
        <v>260993.04864000002</v>
      </c>
      <c r="M26" s="267"/>
      <c r="N26" s="515">
        <f>(VLOOKUP($H26,Factors,N$378))*$J26</f>
        <v>176040.02843999999</v>
      </c>
      <c r="O26" s="267"/>
      <c r="P26" s="515">
        <f>(VLOOKUP($H26,Factors,P$378))*$J26</f>
        <v>28607.18316</v>
      </c>
      <c r="Q26" s="267"/>
      <c r="R26" s="515">
        <f>(VLOOKUP($H26,Factors,R$378))*$J26</f>
        <v>54011.664600000011</v>
      </c>
      <c r="S26" s="267"/>
      <c r="T26" s="515">
        <f>(VLOOKUP($H26,Factors,T$378))*$J26</f>
        <v>19759.041120000002</v>
      </c>
      <c r="U26" s="267"/>
      <c r="V26" s="515">
        <f>(VLOOKUP($H26,Factors,V$378))*$J26</f>
        <v>1682.77548</v>
      </c>
      <c r="W26" s="267"/>
      <c r="X26" s="515">
        <f>(VLOOKUP($H26,Factors,X$378))*$J26</f>
        <v>1737.0585600000002</v>
      </c>
      <c r="Y26" s="94"/>
      <c r="Z26" s="94">
        <f t="shared" si="7"/>
        <v>0</v>
      </c>
      <c r="AC26" s="97" t="s">
        <v>418</v>
      </c>
      <c r="AE26" s="112">
        <f t="shared" ref="AE26" si="22">+H26</f>
        <v>1</v>
      </c>
      <c r="AG26" s="515">
        <f>+J26</f>
        <v>542830.80000000005</v>
      </c>
      <c r="AH26" s="267"/>
      <c r="AI26" s="515">
        <f>(VLOOKUP($AE26,func,AI$378))*$AG26</f>
        <v>539410.96596000006</v>
      </c>
      <c r="AJ26" s="267"/>
      <c r="AK26" s="515">
        <f>(VLOOKUP($AE26,func,AK$378))*$AG26</f>
        <v>0</v>
      </c>
      <c r="AL26" s="267"/>
      <c r="AM26" s="515">
        <f>(VLOOKUP($AE26,func,AM$378))*$AG26</f>
        <v>0</v>
      </c>
      <c r="AN26" s="267"/>
      <c r="AO26" s="515">
        <f>(VLOOKUP($AE26,func,AO$378))*$AG26</f>
        <v>0</v>
      </c>
      <c r="AP26" s="267"/>
      <c r="AQ26" s="515">
        <f>(VLOOKUP($AE26,func,AQ$378))*$AG26</f>
        <v>0</v>
      </c>
      <c r="AR26" s="267"/>
      <c r="AS26" s="515">
        <f>(VLOOKUP($AE26,func,AS$378))*$AG26</f>
        <v>0</v>
      </c>
      <c r="AT26" s="267"/>
      <c r="AU26" s="515">
        <f>(VLOOKUP($AE26,func,AU$378))*$AG26</f>
        <v>0</v>
      </c>
      <c r="AV26" s="267"/>
      <c r="AW26" s="515">
        <f>(VLOOKUP($AE26,func,AW$378))*$AG26</f>
        <v>1682.77548</v>
      </c>
      <c r="AX26" s="267"/>
      <c r="AY26" s="515">
        <f>(VLOOKUP($AE26,func,AY$378))*$AG26</f>
        <v>1737.0585600000002</v>
      </c>
      <c r="BA26" s="82">
        <f t="shared" si="19"/>
        <v>0</v>
      </c>
      <c r="BB26" s="67"/>
      <c r="BC26" s="67"/>
      <c r="BD26" s="67"/>
    </row>
    <row r="27" spans="1:56" s="340" customFormat="1" x14ac:dyDescent="0.2">
      <c r="A27" s="551"/>
      <c r="B27" s="517"/>
      <c r="C27" s="516"/>
      <c r="D27" s="273"/>
      <c r="E27" s="94"/>
      <c r="F27" s="97" t="s">
        <v>635</v>
      </c>
      <c r="G27" s="55"/>
      <c r="H27" s="131">
        <v>1</v>
      </c>
      <c r="I27" s="97"/>
      <c r="J27" s="515">
        <v>-2529</v>
      </c>
      <c r="K27" s="267"/>
      <c r="L27" s="515">
        <f>(VLOOKUP($H27,Factors,L$378))*$J27</f>
        <v>-1215.9431999999999</v>
      </c>
      <c r="M27" s="267"/>
      <c r="N27" s="515">
        <f>(VLOOKUP($H27,Factors,N$378))*$J27</f>
        <v>-820.15469999999993</v>
      </c>
      <c r="O27" s="267"/>
      <c r="P27" s="515">
        <f>(VLOOKUP($H27,Factors,P$378))*$J27</f>
        <v>-133.2783</v>
      </c>
      <c r="Q27" s="267"/>
      <c r="R27" s="515">
        <f>(VLOOKUP($H27,Factors,R$378))*$J27</f>
        <v>-251.63550000000001</v>
      </c>
      <c r="S27" s="267"/>
      <c r="T27" s="515">
        <f>(VLOOKUP($H27,Factors,T$378))*$J27</f>
        <v>-92.055599999999998</v>
      </c>
      <c r="U27" s="267"/>
      <c r="V27" s="515">
        <f>(VLOOKUP($H27,Factors,V$378))*$J27</f>
        <v>-7.8399000000000001</v>
      </c>
      <c r="W27" s="267"/>
      <c r="X27" s="515">
        <f>(VLOOKUP($H27,Factors,X$378))*$J27</f>
        <v>-8.0928000000000004</v>
      </c>
      <c r="Y27" s="94"/>
      <c r="Z27" s="94">
        <f t="shared" si="7"/>
        <v>0</v>
      </c>
      <c r="AC27" s="97" t="s">
        <v>635</v>
      </c>
      <c r="AE27" s="112">
        <v>2</v>
      </c>
      <c r="AG27" s="553">
        <f>+J27</f>
        <v>-2529</v>
      </c>
      <c r="AH27" s="267"/>
      <c r="AI27" s="553">
        <f>(VLOOKUP($AE27,func,AI$378))*$AG27</f>
        <v>-1435.9661999999998</v>
      </c>
      <c r="AJ27" s="267"/>
      <c r="AK27" s="553">
        <f>(VLOOKUP($AE27,func,AK$378))*$AG27</f>
        <v>-1083.9294</v>
      </c>
      <c r="AL27" s="267"/>
      <c r="AM27" s="553">
        <f>(VLOOKUP($AE27,func,AM$378))*$AG27</f>
        <v>0</v>
      </c>
      <c r="AN27" s="267"/>
      <c r="AO27" s="553">
        <f>(VLOOKUP($AE27,func,AO$378))*$AG27</f>
        <v>0</v>
      </c>
      <c r="AP27" s="267"/>
      <c r="AQ27" s="553">
        <f>(VLOOKUP($AE27,func,AQ$378))*$AG27</f>
        <v>0</v>
      </c>
      <c r="AR27" s="267"/>
      <c r="AS27" s="553">
        <f>(VLOOKUP($AE27,func,AS$378))*$AG27</f>
        <v>0</v>
      </c>
      <c r="AT27" s="267"/>
      <c r="AU27" s="553">
        <f>(VLOOKUP($AE27,func,AU$378))*$AG27</f>
        <v>0</v>
      </c>
      <c r="AV27" s="267"/>
      <c r="AW27" s="553">
        <f>(VLOOKUP($AE27,func,AW$378))*$AG27</f>
        <v>-4.5522</v>
      </c>
      <c r="AX27" s="267"/>
      <c r="AY27" s="553">
        <f>(VLOOKUP($AE27,func,AY$378))*$AG27</f>
        <v>-4.5522</v>
      </c>
      <c r="BA27" s="82">
        <f t="shared" ref="BA27" si="23">SUM(AI27:AY27)-AG27</f>
        <v>0</v>
      </c>
      <c r="BB27" s="67"/>
      <c r="BC27" s="67"/>
      <c r="BD27" s="67"/>
    </row>
    <row r="28" spans="1:56" s="340" customFormat="1" x14ac:dyDescent="0.2">
      <c r="A28" s="551"/>
      <c r="B28" s="551"/>
      <c r="C28" s="516"/>
      <c r="D28" s="273"/>
      <c r="E28" s="94"/>
      <c r="F28" s="97"/>
      <c r="G28" s="55"/>
      <c r="H28" s="131"/>
      <c r="I28" s="97"/>
      <c r="J28" s="646"/>
      <c r="K28" s="267"/>
      <c r="L28" s="646"/>
      <c r="M28" s="267"/>
      <c r="N28" s="646"/>
      <c r="O28" s="267"/>
      <c r="P28" s="646"/>
      <c r="Q28" s="267"/>
      <c r="R28" s="646"/>
      <c r="S28" s="267"/>
      <c r="T28" s="646"/>
      <c r="U28" s="267"/>
      <c r="V28" s="646"/>
      <c r="W28" s="267"/>
      <c r="X28" s="646"/>
      <c r="Z28" s="94">
        <f t="shared" si="7"/>
        <v>0</v>
      </c>
      <c r="AC28" s="97"/>
      <c r="AD28" s="55"/>
      <c r="AE28" s="131"/>
      <c r="AF28" s="97"/>
      <c r="AG28" s="550"/>
      <c r="AH28" s="267"/>
      <c r="AI28" s="550"/>
      <c r="AJ28" s="267"/>
      <c r="AK28" s="550"/>
      <c r="AL28" s="267"/>
      <c r="AM28" s="550"/>
      <c r="AN28" s="267"/>
      <c r="AO28" s="550"/>
      <c r="AP28" s="267"/>
      <c r="AQ28" s="550"/>
      <c r="AR28" s="267"/>
      <c r="AS28" s="550"/>
      <c r="AT28" s="267"/>
      <c r="AU28" s="550"/>
      <c r="AV28" s="267"/>
      <c r="AW28" s="550"/>
      <c r="AX28" s="267"/>
      <c r="AY28" s="550"/>
      <c r="BA28" s="82">
        <f t="shared" si="19"/>
        <v>0</v>
      </c>
      <c r="BB28" s="67"/>
      <c r="BC28" s="67"/>
      <c r="BD28" s="67"/>
    </row>
    <row r="29" spans="1:56" s="340" customFormat="1" x14ac:dyDescent="0.2">
      <c r="A29" s="551"/>
      <c r="B29" s="551"/>
      <c r="C29" s="516"/>
      <c r="D29" s="273"/>
      <c r="E29" s="94"/>
      <c r="F29" s="97" t="s">
        <v>43</v>
      </c>
      <c r="G29" s="55"/>
      <c r="H29" s="131"/>
      <c r="I29" s="97"/>
      <c r="J29" s="553">
        <f>SUM(J26:J27)</f>
        <v>540301.80000000005</v>
      </c>
      <c r="K29" s="130"/>
      <c r="L29" s="553">
        <f>SUM(L26:L27)</f>
        <v>259777.10544000001</v>
      </c>
      <c r="M29" s="130"/>
      <c r="N29" s="553">
        <f>SUM(N26:N27)</f>
        <v>175219.87373999998</v>
      </c>
      <c r="O29" s="130"/>
      <c r="P29" s="553">
        <f>SUM(P26:P27)</f>
        <v>28473.904859999999</v>
      </c>
      <c r="Q29" s="130"/>
      <c r="R29" s="553">
        <f>SUM(R26:R27)</f>
        <v>53760.029100000014</v>
      </c>
      <c r="S29" s="130"/>
      <c r="T29" s="553">
        <f>SUM(T26:T27)</f>
        <v>19666.985520000002</v>
      </c>
      <c r="U29" s="130"/>
      <c r="V29" s="553">
        <f>SUM(V26:V27)</f>
        <v>1674.9355800000001</v>
      </c>
      <c r="W29" s="130"/>
      <c r="X29" s="553">
        <f>SUM(X26:X27)</f>
        <v>1728.9657600000003</v>
      </c>
      <c r="Z29" s="94">
        <f t="shared" si="7"/>
        <v>0</v>
      </c>
      <c r="AC29" s="97" t="s">
        <v>40</v>
      </c>
      <c r="AD29" s="55"/>
      <c r="AE29" s="131"/>
      <c r="AF29" s="97"/>
      <c r="AG29" s="553">
        <f>SUM(AG26:AG28)</f>
        <v>540301.80000000005</v>
      </c>
      <c r="AH29" s="130"/>
      <c r="AI29" s="553">
        <f t="shared" ref="AI29" si="24">SUM(AI26:AI28)</f>
        <v>537974.99976000004</v>
      </c>
      <c r="AJ29" s="130"/>
      <c r="AK29" s="553">
        <f t="shared" ref="AK29" si="25">SUM(AK26:AK28)</f>
        <v>-1083.9294</v>
      </c>
      <c r="AL29" s="130"/>
      <c r="AM29" s="553">
        <f t="shared" ref="AM29" si="26">SUM(AM26:AM28)</f>
        <v>0</v>
      </c>
      <c r="AN29" s="130"/>
      <c r="AO29" s="553">
        <f t="shared" ref="AO29" si="27">SUM(AO26:AO28)</f>
        <v>0</v>
      </c>
      <c r="AP29" s="130"/>
      <c r="AQ29" s="553">
        <f t="shared" ref="AQ29" si="28">SUM(AQ26:AQ28)</f>
        <v>0</v>
      </c>
      <c r="AR29" s="130"/>
      <c r="AS29" s="553">
        <f t="shared" ref="AS29" si="29">SUM(AS26:AS28)</f>
        <v>0</v>
      </c>
      <c r="AT29" s="130"/>
      <c r="AU29" s="553">
        <f t="shared" ref="AU29" si="30">SUM(AU26:AU28)</f>
        <v>0</v>
      </c>
      <c r="AV29" s="130"/>
      <c r="AW29" s="553">
        <f t="shared" ref="AW29" si="31">SUM(AW26:AW28)</f>
        <v>1678.2232799999999</v>
      </c>
      <c r="AX29" s="130"/>
      <c r="AY29" s="553">
        <f t="shared" ref="AY29" si="32">SUM(AY26:AY28)</f>
        <v>1732.5063600000001</v>
      </c>
      <c r="BA29" s="82">
        <f t="shared" si="19"/>
        <v>0</v>
      </c>
      <c r="BB29" s="67"/>
      <c r="BC29" s="67"/>
      <c r="BD29" s="67"/>
    </row>
    <row r="30" spans="1:56" s="340" customFormat="1" x14ac:dyDescent="0.2">
      <c r="A30" s="514"/>
      <c r="B30" s="515"/>
      <c r="C30" s="516"/>
      <c r="D30" s="273"/>
      <c r="E30" s="94"/>
      <c r="F30" s="97"/>
      <c r="G30" s="55"/>
      <c r="H30" s="131"/>
      <c r="I30" s="97"/>
      <c r="J30" s="550"/>
      <c r="K30" s="267"/>
      <c r="L30" s="267"/>
      <c r="M30" s="265"/>
      <c r="N30" s="267"/>
      <c r="O30" s="265"/>
      <c r="P30" s="267"/>
      <c r="Q30" s="265"/>
      <c r="R30" s="267"/>
      <c r="S30" s="265"/>
      <c r="T30" s="267"/>
      <c r="U30" s="265"/>
      <c r="V30" s="267"/>
      <c r="W30" s="265"/>
      <c r="X30" s="267"/>
      <c r="Z30" s="94">
        <f t="shared" si="7"/>
        <v>0</v>
      </c>
      <c r="AC30" s="97"/>
      <c r="AE30" s="112"/>
      <c r="AG30" s="550"/>
      <c r="AH30" s="267"/>
      <c r="AI30" s="267"/>
      <c r="AJ30" s="265"/>
      <c r="AK30" s="267"/>
      <c r="AL30" s="265"/>
      <c r="AM30" s="267"/>
      <c r="AN30" s="265"/>
      <c r="AO30" s="267"/>
      <c r="AP30" s="265"/>
      <c r="AQ30" s="267"/>
      <c r="AR30" s="265"/>
      <c r="AS30" s="267"/>
      <c r="AT30" s="265"/>
      <c r="AU30" s="267"/>
      <c r="AV30" s="267"/>
      <c r="AW30" s="267"/>
      <c r="AX30" s="267"/>
      <c r="AY30" s="267"/>
      <c r="BA30" s="82">
        <f t="shared" si="19"/>
        <v>0</v>
      </c>
      <c r="BB30" s="67"/>
      <c r="BC30" s="67"/>
      <c r="BD30" s="67"/>
    </row>
    <row r="31" spans="1:56" s="340" customFormat="1" x14ac:dyDescent="0.2">
      <c r="A31" s="514"/>
      <c r="B31" s="515"/>
      <c r="C31" s="516"/>
      <c r="D31" s="273"/>
      <c r="E31" s="94"/>
      <c r="F31" s="219" t="s">
        <v>84</v>
      </c>
      <c r="G31" s="55"/>
      <c r="H31" s="131"/>
      <c r="I31" s="97"/>
      <c r="J31" s="550"/>
      <c r="K31" s="267"/>
      <c r="L31" s="267"/>
      <c r="M31" s="265"/>
      <c r="N31" s="267"/>
      <c r="O31" s="265"/>
      <c r="P31" s="267"/>
      <c r="Q31" s="265"/>
      <c r="R31" s="267"/>
      <c r="S31" s="265"/>
      <c r="T31" s="267"/>
      <c r="U31" s="265"/>
      <c r="V31" s="267"/>
      <c r="W31" s="265"/>
      <c r="X31" s="267"/>
      <c r="Z31" s="94">
        <f t="shared" si="7"/>
        <v>0</v>
      </c>
      <c r="AC31" s="97" t="s">
        <v>84</v>
      </c>
      <c r="AE31" s="112"/>
      <c r="AG31" s="550"/>
      <c r="AH31" s="267"/>
      <c r="AI31" s="267"/>
      <c r="AJ31" s="265"/>
      <c r="AK31" s="267"/>
      <c r="AL31" s="265"/>
      <c r="AM31" s="267"/>
      <c r="AN31" s="265"/>
      <c r="AO31" s="267"/>
      <c r="AP31" s="265"/>
      <c r="AQ31" s="267"/>
      <c r="AR31" s="265"/>
      <c r="AS31" s="267"/>
      <c r="AT31" s="265"/>
      <c r="AU31" s="267"/>
      <c r="AV31" s="267"/>
      <c r="AW31" s="267"/>
      <c r="AX31" s="267"/>
      <c r="AY31" s="267"/>
      <c r="BA31" s="82">
        <f t="shared" si="19"/>
        <v>0</v>
      </c>
      <c r="BB31" s="67"/>
      <c r="BC31" s="67"/>
      <c r="BD31" s="67"/>
    </row>
    <row r="32" spans="1:56" s="340" customFormat="1" x14ac:dyDescent="0.2">
      <c r="A32" s="514"/>
      <c r="B32" s="515"/>
      <c r="C32" s="516"/>
      <c r="D32" s="273"/>
      <c r="E32" s="94"/>
      <c r="F32" s="97" t="s">
        <v>39</v>
      </c>
      <c r="G32" s="55"/>
      <c r="H32" s="131"/>
      <c r="I32" s="97"/>
      <c r="J32" s="550"/>
      <c r="K32" s="267"/>
      <c r="L32" s="267"/>
      <c r="M32" s="265"/>
      <c r="N32" s="267"/>
      <c r="O32" s="265"/>
      <c r="P32" s="267"/>
      <c r="Q32" s="265"/>
      <c r="R32" s="267"/>
      <c r="S32" s="265"/>
      <c r="T32" s="267"/>
      <c r="U32" s="265"/>
      <c r="V32" s="267"/>
      <c r="W32" s="265"/>
      <c r="X32" s="267"/>
      <c r="Z32" s="94">
        <f t="shared" si="7"/>
        <v>0</v>
      </c>
      <c r="AC32" s="97" t="s">
        <v>39</v>
      </c>
      <c r="AE32" s="112"/>
      <c r="AG32" s="550"/>
      <c r="AH32" s="267"/>
      <c r="AI32" s="267"/>
      <c r="AJ32" s="265"/>
      <c r="AK32" s="267"/>
      <c r="AL32" s="265"/>
      <c r="AM32" s="267"/>
      <c r="AN32" s="265"/>
      <c r="AO32" s="267"/>
      <c r="AP32" s="265"/>
      <c r="AQ32" s="267"/>
      <c r="AR32" s="265"/>
      <c r="AS32" s="267"/>
      <c r="AT32" s="265"/>
      <c r="AU32" s="267"/>
      <c r="AV32" s="267"/>
      <c r="AW32" s="267"/>
      <c r="AX32" s="267"/>
      <c r="AY32" s="267"/>
      <c r="BA32" s="82">
        <f t="shared" si="19"/>
        <v>0</v>
      </c>
      <c r="BB32" s="67"/>
      <c r="BC32" s="67"/>
      <c r="BD32" s="67"/>
    </row>
    <row r="33" spans="1:56" s="340" customFormat="1" ht="5.45" customHeight="1" x14ac:dyDescent="0.2">
      <c r="A33" s="514"/>
      <c r="B33" s="515"/>
      <c r="C33" s="516"/>
      <c r="D33" s="273"/>
      <c r="E33" s="94"/>
      <c r="G33" s="55"/>
      <c r="H33" s="131"/>
      <c r="I33" s="97"/>
      <c r="J33" s="550"/>
      <c r="K33" s="267"/>
      <c r="L33" s="267"/>
      <c r="M33" s="265"/>
      <c r="N33" s="267"/>
      <c r="O33" s="265"/>
      <c r="P33" s="267"/>
      <c r="Q33" s="265"/>
      <c r="R33" s="267"/>
      <c r="S33" s="265"/>
      <c r="T33" s="267"/>
      <c r="U33" s="265"/>
      <c r="V33" s="267"/>
      <c r="W33" s="265"/>
      <c r="X33" s="267"/>
      <c r="Z33" s="94">
        <f t="shared" si="7"/>
        <v>0</v>
      </c>
      <c r="AE33" s="112"/>
      <c r="AG33" s="550"/>
      <c r="AH33" s="267"/>
      <c r="AI33" s="267"/>
      <c r="AJ33" s="265"/>
      <c r="AK33" s="267"/>
      <c r="AL33" s="265"/>
      <c r="AM33" s="267"/>
      <c r="AN33" s="265"/>
      <c r="AO33" s="267"/>
      <c r="AP33" s="265"/>
      <c r="AQ33" s="267"/>
      <c r="AR33" s="265"/>
      <c r="AS33" s="267"/>
      <c r="AT33" s="265"/>
      <c r="AU33" s="267"/>
      <c r="AV33" s="267"/>
      <c r="AW33" s="267"/>
      <c r="AX33" s="267"/>
      <c r="AY33" s="267"/>
      <c r="BA33" s="82">
        <f t="shared" si="19"/>
        <v>0</v>
      </c>
      <c r="BB33" s="67"/>
      <c r="BC33" s="67"/>
      <c r="BD33" s="67"/>
    </row>
    <row r="34" spans="1:56" s="340" customFormat="1" x14ac:dyDescent="0.2">
      <c r="A34" s="514"/>
      <c r="B34" s="515"/>
      <c r="C34" s="516"/>
      <c r="D34" s="273">
        <v>601.29999999999995</v>
      </c>
      <c r="E34" s="94"/>
      <c r="F34" s="97" t="s">
        <v>422</v>
      </c>
      <c r="G34" s="55"/>
      <c r="H34" s="131">
        <v>2</v>
      </c>
      <c r="I34" s="97"/>
      <c r="J34" s="550">
        <v>193212.27468950395</v>
      </c>
      <c r="K34" s="267"/>
      <c r="L34" s="130">
        <f t="shared" ref="L34:L52" si="33">(VLOOKUP($H34,Factors,L$378))*$J34</f>
        <v>96837.992074379377</v>
      </c>
      <c r="M34" s="94"/>
      <c r="N34" s="130">
        <f t="shared" ref="N34:N52" si="34">(VLOOKUP($H34,Factors,N$378))*$J34</f>
        <v>62368.922269771872</v>
      </c>
      <c r="O34" s="94"/>
      <c r="P34" s="130">
        <f t="shared" ref="P34:P52" si="35">(VLOOKUP($H34,Factors,P$378))*$J34</f>
        <v>9177.5830477514373</v>
      </c>
      <c r="Q34" s="94"/>
      <c r="R34" s="130">
        <f t="shared" ref="R34:R52" si="36">(VLOOKUP($H34,Factors,R$378))*$J34</f>
        <v>17794.850498903314</v>
      </c>
      <c r="S34" s="94"/>
      <c r="T34" s="130">
        <f t="shared" ref="T34:T52" si="37">(VLOOKUP($H34,Factors,T$378))*$J34</f>
        <v>6337.3626098157283</v>
      </c>
      <c r="U34" s="94"/>
      <c r="V34" s="130">
        <f t="shared" ref="V34:V52" si="38">(VLOOKUP($H34,Factors,V$378))*$J34</f>
        <v>347.78209444110712</v>
      </c>
      <c r="W34" s="94"/>
      <c r="X34" s="130">
        <f t="shared" ref="X34:X52" si="39">(VLOOKUP($H34,Factors,X$378))*$J34</f>
        <v>347.78209444110712</v>
      </c>
      <c r="Y34" s="94"/>
      <c r="Z34" s="94">
        <f t="shared" si="7"/>
        <v>0</v>
      </c>
      <c r="AC34" s="97" t="s">
        <v>422</v>
      </c>
      <c r="AE34" s="112">
        <f>+H34</f>
        <v>2</v>
      </c>
      <c r="AG34" s="550">
        <f>+J34</f>
        <v>193212.27468950395</v>
      </c>
      <c r="AH34" s="267"/>
      <c r="AI34" s="130">
        <f t="shared" ref="AI34:AI52" si="40">(VLOOKUP($AE34,func,AI$378))*$AG34</f>
        <v>109705.92956870033</v>
      </c>
      <c r="AJ34" s="94"/>
      <c r="AK34" s="130">
        <f t="shared" ref="AK34:AK52" si="41">(VLOOKUP($AE34,func,AK$378))*$AG34</f>
        <v>82810.780931921385</v>
      </c>
      <c r="AL34" s="94"/>
      <c r="AM34" s="130">
        <f t="shared" ref="AM34:AM52" si="42">(VLOOKUP($AE34,func,AM$378))*$AG34</f>
        <v>0</v>
      </c>
      <c r="AN34" s="94"/>
      <c r="AO34" s="130">
        <f t="shared" ref="AO34:AO52" si="43">(VLOOKUP($AE34,func,AO$378))*$AG34</f>
        <v>0</v>
      </c>
      <c r="AP34" s="94"/>
      <c r="AQ34" s="130">
        <f t="shared" ref="AQ34:AQ52" si="44">(VLOOKUP($AE34,func,AQ$378))*$AG34</f>
        <v>0</v>
      </c>
      <c r="AR34" s="94"/>
      <c r="AS34" s="130">
        <f t="shared" ref="AS34:AS52" si="45">(VLOOKUP($AE34,func,AS$378))*$AG34</f>
        <v>0</v>
      </c>
      <c r="AT34" s="94"/>
      <c r="AU34" s="130">
        <f t="shared" ref="AU34:AU52" si="46">(VLOOKUP($AE34,func,AU$378))*$AG34</f>
        <v>0</v>
      </c>
      <c r="AV34" s="130"/>
      <c r="AW34" s="130">
        <f t="shared" ref="AW34:AW52" si="47">(VLOOKUP($AE34,func,AW$378))*$AG34</f>
        <v>347.78209444110712</v>
      </c>
      <c r="AX34" s="130"/>
      <c r="AY34" s="130">
        <f t="shared" ref="AY34:AY52" si="48">(VLOOKUP($AE34,func,AY$378))*$AG34</f>
        <v>347.78209444110712</v>
      </c>
      <c r="BA34" s="82">
        <f t="shared" si="19"/>
        <v>0</v>
      </c>
      <c r="BB34" s="67"/>
      <c r="BC34" s="67"/>
      <c r="BD34" s="67"/>
    </row>
    <row r="35" spans="1:56" s="340" customFormat="1" x14ac:dyDescent="0.2">
      <c r="A35" s="514"/>
      <c r="B35" s="551"/>
      <c r="C35" s="515"/>
      <c r="D35" s="273">
        <v>601.29999999999995</v>
      </c>
      <c r="E35" s="94"/>
      <c r="F35" s="97" t="s">
        <v>530</v>
      </c>
      <c r="G35" s="55"/>
      <c r="H35" s="131">
        <v>2</v>
      </c>
      <c r="I35" s="97"/>
      <c r="J35" s="550">
        <v>3656184.9974028612</v>
      </c>
      <c r="K35" s="267"/>
      <c r="L35" s="130">
        <f t="shared" si="33"/>
        <v>1832479.920698314</v>
      </c>
      <c r="M35" s="94"/>
      <c r="N35" s="130">
        <f t="shared" si="34"/>
        <v>1180216.5171616436</v>
      </c>
      <c r="O35" s="94"/>
      <c r="P35" s="130">
        <f t="shared" si="35"/>
        <v>173668.78737663591</v>
      </c>
      <c r="Q35" s="94"/>
      <c r="R35" s="130">
        <f t="shared" si="36"/>
        <v>336734.63826080353</v>
      </c>
      <c r="S35" s="94"/>
      <c r="T35" s="130">
        <f t="shared" si="37"/>
        <v>119922.86791481383</v>
      </c>
      <c r="U35" s="94"/>
      <c r="V35" s="130">
        <f t="shared" si="38"/>
        <v>6581.1329953251497</v>
      </c>
      <c r="W35" s="94"/>
      <c r="X35" s="130">
        <f t="shared" si="39"/>
        <v>6581.1329953251497</v>
      </c>
      <c r="Y35" s="94"/>
      <c r="Z35" s="94">
        <f t="shared" si="7"/>
        <v>0</v>
      </c>
      <c r="AC35" s="97" t="s">
        <v>530</v>
      </c>
      <c r="AE35" s="112">
        <f t="shared" ref="AE35:AE52" si="49">+H35</f>
        <v>2</v>
      </c>
      <c r="AG35" s="550">
        <f t="shared" ref="AG35:AG50" si="50">+J35</f>
        <v>3656184.9974028612</v>
      </c>
      <c r="AH35" s="267"/>
      <c r="AI35" s="130">
        <f t="shared" si="40"/>
        <v>2075981.8415253444</v>
      </c>
      <c r="AJ35" s="94"/>
      <c r="AK35" s="130">
        <f t="shared" si="41"/>
        <v>1567040.8898868663</v>
      </c>
      <c r="AL35" s="94"/>
      <c r="AM35" s="130">
        <f t="shared" si="42"/>
        <v>0</v>
      </c>
      <c r="AN35" s="94"/>
      <c r="AO35" s="130">
        <f t="shared" si="43"/>
        <v>0</v>
      </c>
      <c r="AP35" s="94"/>
      <c r="AQ35" s="130">
        <f t="shared" si="44"/>
        <v>0</v>
      </c>
      <c r="AR35" s="94"/>
      <c r="AS35" s="130">
        <f t="shared" si="45"/>
        <v>0</v>
      </c>
      <c r="AT35" s="94"/>
      <c r="AU35" s="130">
        <f t="shared" si="46"/>
        <v>0</v>
      </c>
      <c r="AV35" s="130"/>
      <c r="AW35" s="130">
        <f t="shared" si="47"/>
        <v>6581.1329953251497</v>
      </c>
      <c r="AX35" s="130"/>
      <c r="AY35" s="130">
        <f t="shared" si="48"/>
        <v>6581.1329953251497</v>
      </c>
      <c r="BA35" s="82">
        <f t="shared" si="19"/>
        <v>0</v>
      </c>
      <c r="BB35" s="67"/>
      <c r="BC35" s="67"/>
      <c r="BD35" s="67"/>
    </row>
    <row r="36" spans="1:56" s="340" customFormat="1" x14ac:dyDescent="0.2">
      <c r="A36" s="514"/>
      <c r="B36" s="515"/>
      <c r="C36" s="516"/>
      <c r="D36" s="273">
        <v>618.29999999999995</v>
      </c>
      <c r="E36" s="94"/>
      <c r="F36" s="97" t="s">
        <v>423</v>
      </c>
      <c r="G36" s="55"/>
      <c r="H36" s="131">
        <v>1</v>
      </c>
      <c r="I36" s="97"/>
      <c r="J36" s="550">
        <v>2887865.9872043957</v>
      </c>
      <c r="K36" s="267"/>
      <c r="L36" s="130">
        <f t="shared" si="33"/>
        <v>1388485.9666478734</v>
      </c>
      <c r="M36" s="94"/>
      <c r="N36" s="130">
        <f t="shared" si="34"/>
        <v>936534.93965038541</v>
      </c>
      <c r="O36" s="94"/>
      <c r="P36" s="130">
        <f t="shared" si="35"/>
        <v>152190.53752567165</v>
      </c>
      <c r="Q36" s="94"/>
      <c r="R36" s="130">
        <f t="shared" si="36"/>
        <v>287342.66572683741</v>
      </c>
      <c r="S36" s="94"/>
      <c r="T36" s="130">
        <f t="shared" si="37"/>
        <v>105118.32193424001</v>
      </c>
      <c r="U36" s="94"/>
      <c r="V36" s="130">
        <f t="shared" si="38"/>
        <v>8952.3845603336267</v>
      </c>
      <c r="W36" s="94"/>
      <c r="X36" s="130">
        <f t="shared" si="39"/>
        <v>9241.1711590540672</v>
      </c>
      <c r="Y36" s="94"/>
      <c r="Z36" s="94">
        <f t="shared" si="7"/>
        <v>0</v>
      </c>
      <c r="AC36" s="97" t="s">
        <v>423</v>
      </c>
      <c r="AE36" s="112">
        <f t="shared" si="49"/>
        <v>1</v>
      </c>
      <c r="AG36" s="550">
        <f t="shared" si="50"/>
        <v>2887865.9872043957</v>
      </c>
      <c r="AH36" s="267"/>
      <c r="AI36" s="130">
        <f t="shared" si="40"/>
        <v>2869672.431485008</v>
      </c>
      <c r="AJ36" s="94"/>
      <c r="AK36" s="130">
        <f t="shared" si="41"/>
        <v>0</v>
      </c>
      <c r="AL36" s="94"/>
      <c r="AM36" s="130">
        <f t="shared" si="42"/>
        <v>0</v>
      </c>
      <c r="AN36" s="94"/>
      <c r="AO36" s="130">
        <f t="shared" si="43"/>
        <v>0</v>
      </c>
      <c r="AP36" s="94"/>
      <c r="AQ36" s="130">
        <f t="shared" si="44"/>
        <v>0</v>
      </c>
      <c r="AR36" s="94"/>
      <c r="AS36" s="130">
        <f t="shared" si="45"/>
        <v>0</v>
      </c>
      <c r="AT36" s="94"/>
      <c r="AU36" s="130">
        <f t="shared" si="46"/>
        <v>0</v>
      </c>
      <c r="AV36" s="130"/>
      <c r="AW36" s="130">
        <f t="shared" si="47"/>
        <v>8952.3845603336267</v>
      </c>
      <c r="AX36" s="130"/>
      <c r="AY36" s="130">
        <f t="shared" si="48"/>
        <v>9241.1711590540672</v>
      </c>
      <c r="BA36" s="82">
        <f t="shared" si="19"/>
        <v>0</v>
      </c>
      <c r="BB36" s="67"/>
      <c r="BC36" s="67"/>
      <c r="BD36" s="67"/>
    </row>
    <row r="37" spans="1:56" s="340" customFormat="1" x14ac:dyDescent="0.2">
      <c r="A37" s="514"/>
      <c r="B37" s="515"/>
      <c r="C37" s="516"/>
      <c r="D37" s="273">
        <v>615.29999999999995</v>
      </c>
      <c r="E37" s="94"/>
      <c r="F37" s="97" t="s">
        <v>418</v>
      </c>
      <c r="G37" s="55"/>
      <c r="H37" s="131">
        <v>1</v>
      </c>
      <c r="I37" s="97"/>
      <c r="J37" s="550">
        <v>3616725.02</v>
      </c>
      <c r="K37" s="267"/>
      <c r="L37" s="130">
        <f t="shared" si="33"/>
        <v>1738921.389616</v>
      </c>
      <c r="M37" s="94"/>
      <c r="N37" s="130">
        <f t="shared" si="34"/>
        <v>1172903.923986</v>
      </c>
      <c r="O37" s="94"/>
      <c r="P37" s="130">
        <f t="shared" si="35"/>
        <v>190601.40855399999</v>
      </c>
      <c r="Q37" s="94"/>
      <c r="R37" s="130">
        <f t="shared" si="36"/>
        <v>359864.13949000003</v>
      </c>
      <c r="S37" s="94"/>
      <c r="T37" s="130">
        <f t="shared" si="37"/>
        <v>131648.79072799999</v>
      </c>
      <c r="U37" s="94"/>
      <c r="V37" s="130">
        <f t="shared" si="38"/>
        <v>11211.847561999999</v>
      </c>
      <c r="W37" s="94"/>
      <c r="X37" s="130">
        <f t="shared" si="39"/>
        <v>11573.520064</v>
      </c>
      <c r="Y37" s="94"/>
      <c r="Z37" s="94">
        <f t="shared" si="7"/>
        <v>0</v>
      </c>
      <c r="AC37" s="97" t="s">
        <v>418</v>
      </c>
      <c r="AE37" s="112">
        <f t="shared" si="49"/>
        <v>1</v>
      </c>
      <c r="AG37" s="550">
        <f t="shared" si="50"/>
        <v>3616725.02</v>
      </c>
      <c r="AH37" s="267"/>
      <c r="AI37" s="130">
        <f t="shared" si="40"/>
        <v>3593939.6523740003</v>
      </c>
      <c r="AJ37" s="94"/>
      <c r="AK37" s="130">
        <f t="shared" si="41"/>
        <v>0</v>
      </c>
      <c r="AL37" s="94"/>
      <c r="AM37" s="130">
        <f t="shared" si="42"/>
        <v>0</v>
      </c>
      <c r="AN37" s="94"/>
      <c r="AO37" s="130">
        <f t="shared" si="43"/>
        <v>0</v>
      </c>
      <c r="AP37" s="94"/>
      <c r="AQ37" s="130">
        <f t="shared" si="44"/>
        <v>0</v>
      </c>
      <c r="AR37" s="94"/>
      <c r="AS37" s="130">
        <f t="shared" si="45"/>
        <v>0</v>
      </c>
      <c r="AT37" s="94"/>
      <c r="AU37" s="130">
        <f t="shared" si="46"/>
        <v>0</v>
      </c>
      <c r="AV37" s="130"/>
      <c r="AW37" s="130">
        <f t="shared" si="47"/>
        <v>11211.847561999999</v>
      </c>
      <c r="AX37" s="130"/>
      <c r="AY37" s="130">
        <f t="shared" si="48"/>
        <v>11573.520064</v>
      </c>
      <c r="BA37" s="82">
        <f t="shared" si="19"/>
        <v>0</v>
      </c>
      <c r="BB37" s="67"/>
      <c r="BC37" s="67"/>
      <c r="BD37" s="67"/>
    </row>
    <row r="38" spans="1:56" s="340" customFormat="1" x14ac:dyDescent="0.2">
      <c r="A38" s="514"/>
      <c r="B38" s="515"/>
      <c r="C38" s="516"/>
      <c r="D38" s="273">
        <v>620.29999999999995</v>
      </c>
      <c r="E38" s="94"/>
      <c r="F38" s="97" t="s">
        <v>481</v>
      </c>
      <c r="G38" s="55"/>
      <c r="H38" s="131">
        <v>2</v>
      </c>
      <c r="I38" s="97"/>
      <c r="J38" s="550">
        <v>0</v>
      </c>
      <c r="K38" s="267"/>
      <c r="L38" s="130">
        <f t="shared" si="33"/>
        <v>0</v>
      </c>
      <c r="M38" s="94"/>
      <c r="N38" s="130">
        <f t="shared" si="34"/>
        <v>0</v>
      </c>
      <c r="O38" s="94"/>
      <c r="P38" s="130">
        <f t="shared" si="35"/>
        <v>0</v>
      </c>
      <c r="Q38" s="94"/>
      <c r="R38" s="130">
        <f t="shared" si="36"/>
        <v>0</v>
      </c>
      <c r="S38" s="94"/>
      <c r="T38" s="130">
        <f t="shared" si="37"/>
        <v>0</v>
      </c>
      <c r="U38" s="94"/>
      <c r="V38" s="130">
        <f t="shared" si="38"/>
        <v>0</v>
      </c>
      <c r="W38" s="94"/>
      <c r="X38" s="130">
        <f t="shared" si="39"/>
        <v>0</v>
      </c>
      <c r="Y38" s="94"/>
      <c r="Z38" s="94">
        <f t="shared" si="7"/>
        <v>0</v>
      </c>
      <c r="AC38" s="97" t="s">
        <v>481</v>
      </c>
      <c r="AE38" s="112">
        <f t="shared" si="49"/>
        <v>2</v>
      </c>
      <c r="AG38" s="550">
        <f t="shared" si="50"/>
        <v>0</v>
      </c>
      <c r="AH38" s="267"/>
      <c r="AI38" s="130">
        <f t="shared" si="40"/>
        <v>0</v>
      </c>
      <c r="AJ38" s="94"/>
      <c r="AK38" s="130">
        <f t="shared" si="41"/>
        <v>0</v>
      </c>
      <c r="AL38" s="94"/>
      <c r="AM38" s="130">
        <f t="shared" si="42"/>
        <v>0</v>
      </c>
      <c r="AN38" s="94"/>
      <c r="AO38" s="130">
        <f t="shared" si="43"/>
        <v>0</v>
      </c>
      <c r="AP38" s="94"/>
      <c r="AQ38" s="130">
        <f t="shared" si="44"/>
        <v>0</v>
      </c>
      <c r="AR38" s="94"/>
      <c r="AS38" s="130">
        <f t="shared" si="45"/>
        <v>0</v>
      </c>
      <c r="AT38" s="94"/>
      <c r="AU38" s="130">
        <f t="shared" si="46"/>
        <v>0</v>
      </c>
      <c r="AV38" s="130"/>
      <c r="AW38" s="130">
        <f t="shared" si="47"/>
        <v>0</v>
      </c>
      <c r="AX38" s="130"/>
      <c r="AY38" s="130">
        <f t="shared" si="48"/>
        <v>0</v>
      </c>
      <c r="BA38" s="82">
        <f t="shared" si="19"/>
        <v>0</v>
      </c>
      <c r="BB38" s="67"/>
      <c r="BC38" s="67"/>
      <c r="BD38" s="67"/>
    </row>
    <row r="39" spans="1:56" s="340" customFormat="1" x14ac:dyDescent="0.2">
      <c r="A39" s="514"/>
      <c r="B39" s="551"/>
      <c r="C39" s="515"/>
      <c r="D39" s="273">
        <v>636.29999999999995</v>
      </c>
      <c r="E39" s="94"/>
      <c r="F39" s="97" t="s">
        <v>478</v>
      </c>
      <c r="G39" s="55"/>
      <c r="H39" s="131">
        <v>2</v>
      </c>
      <c r="I39" s="97"/>
      <c r="J39" s="550">
        <v>81473</v>
      </c>
      <c r="K39" s="267"/>
      <c r="L39" s="130">
        <f t="shared" si="33"/>
        <v>40834.267599999999</v>
      </c>
      <c r="M39" s="94"/>
      <c r="N39" s="130">
        <f t="shared" si="34"/>
        <v>26299.484399999998</v>
      </c>
      <c r="O39" s="94"/>
      <c r="P39" s="130">
        <f t="shared" si="35"/>
        <v>3869.9675000000002</v>
      </c>
      <c r="Q39" s="94"/>
      <c r="R39" s="130">
        <f t="shared" si="36"/>
        <v>7503.6633000000002</v>
      </c>
      <c r="S39" s="94"/>
      <c r="T39" s="130">
        <f t="shared" si="37"/>
        <v>2672.3143999999998</v>
      </c>
      <c r="U39" s="94"/>
      <c r="V39" s="130">
        <f t="shared" si="38"/>
        <v>146.6514</v>
      </c>
      <c r="W39" s="94"/>
      <c r="X39" s="130">
        <f t="shared" si="39"/>
        <v>146.6514</v>
      </c>
      <c r="Y39" s="94"/>
      <c r="Z39" s="94">
        <f t="shared" si="7"/>
        <v>0</v>
      </c>
      <c r="AC39" s="97" t="s">
        <v>478</v>
      </c>
      <c r="AE39" s="112">
        <f t="shared" si="49"/>
        <v>2</v>
      </c>
      <c r="AG39" s="550">
        <f t="shared" si="50"/>
        <v>81473</v>
      </c>
      <c r="AH39" s="267"/>
      <c r="AI39" s="130">
        <f t="shared" si="40"/>
        <v>46260.369399999996</v>
      </c>
      <c r="AJ39" s="94"/>
      <c r="AK39" s="130">
        <f t="shared" si="41"/>
        <v>34919.327799999999</v>
      </c>
      <c r="AL39" s="94"/>
      <c r="AM39" s="130">
        <f t="shared" si="42"/>
        <v>0</v>
      </c>
      <c r="AN39" s="94"/>
      <c r="AO39" s="130">
        <f t="shared" si="43"/>
        <v>0</v>
      </c>
      <c r="AP39" s="94"/>
      <c r="AQ39" s="130">
        <f t="shared" si="44"/>
        <v>0</v>
      </c>
      <c r="AR39" s="94"/>
      <c r="AS39" s="130">
        <f t="shared" si="45"/>
        <v>0</v>
      </c>
      <c r="AT39" s="94"/>
      <c r="AU39" s="130">
        <f t="shared" si="46"/>
        <v>0</v>
      </c>
      <c r="AV39" s="267"/>
      <c r="AW39" s="267">
        <f t="shared" si="47"/>
        <v>146.6514</v>
      </c>
      <c r="AX39" s="267"/>
      <c r="AY39" s="267">
        <f t="shared" si="48"/>
        <v>146.6514</v>
      </c>
      <c r="BA39" s="82">
        <f t="shared" si="19"/>
        <v>0</v>
      </c>
      <c r="BB39" s="67"/>
      <c r="BC39" s="67"/>
      <c r="BD39" s="67"/>
    </row>
    <row r="40" spans="1:56" s="340" customFormat="1" x14ac:dyDescent="0.2">
      <c r="A40" s="514"/>
      <c r="B40" s="551"/>
      <c r="C40" s="515"/>
      <c r="D40" s="273">
        <v>635.29999999999995</v>
      </c>
      <c r="E40" s="94"/>
      <c r="F40" s="97" t="s">
        <v>483</v>
      </c>
      <c r="G40" s="55"/>
      <c r="H40" s="131">
        <v>2</v>
      </c>
      <c r="I40" s="97"/>
      <c r="J40" s="550">
        <v>8049</v>
      </c>
      <c r="K40" s="267"/>
      <c r="L40" s="130">
        <f t="shared" si="33"/>
        <v>4034.1587999999997</v>
      </c>
      <c r="M40" s="94"/>
      <c r="N40" s="130">
        <f t="shared" si="34"/>
        <v>2598.2171999999996</v>
      </c>
      <c r="O40" s="94"/>
      <c r="P40" s="130">
        <f t="shared" si="35"/>
        <v>382.32749999999999</v>
      </c>
      <c r="Q40" s="94"/>
      <c r="R40" s="130">
        <f t="shared" si="36"/>
        <v>741.31290000000001</v>
      </c>
      <c r="S40" s="94"/>
      <c r="T40" s="130">
        <f t="shared" si="37"/>
        <v>264.00719999999995</v>
      </c>
      <c r="U40" s="94"/>
      <c r="V40" s="130">
        <f t="shared" si="38"/>
        <v>14.488199999999999</v>
      </c>
      <c r="W40" s="94"/>
      <c r="X40" s="130">
        <f t="shared" si="39"/>
        <v>14.488199999999999</v>
      </c>
      <c r="Y40" s="94"/>
      <c r="Z40" s="94">
        <f t="shared" si="7"/>
        <v>0</v>
      </c>
      <c r="AC40" s="97" t="s">
        <v>483</v>
      </c>
      <c r="AE40" s="112">
        <f t="shared" si="49"/>
        <v>2</v>
      </c>
      <c r="AG40" s="550">
        <f t="shared" si="50"/>
        <v>8049</v>
      </c>
      <c r="AH40" s="267"/>
      <c r="AI40" s="130">
        <f t="shared" si="40"/>
        <v>4570.2222000000002</v>
      </c>
      <c r="AJ40" s="94"/>
      <c r="AK40" s="130">
        <f t="shared" si="41"/>
        <v>3449.8013999999998</v>
      </c>
      <c r="AL40" s="94"/>
      <c r="AM40" s="130">
        <f t="shared" si="42"/>
        <v>0</v>
      </c>
      <c r="AN40" s="94"/>
      <c r="AO40" s="130">
        <f t="shared" si="43"/>
        <v>0</v>
      </c>
      <c r="AP40" s="94"/>
      <c r="AQ40" s="130">
        <f t="shared" si="44"/>
        <v>0</v>
      </c>
      <c r="AR40" s="94"/>
      <c r="AS40" s="130">
        <f t="shared" si="45"/>
        <v>0</v>
      </c>
      <c r="AT40" s="94"/>
      <c r="AU40" s="130">
        <f t="shared" si="46"/>
        <v>0</v>
      </c>
      <c r="AV40" s="267"/>
      <c r="AW40" s="267">
        <f t="shared" si="47"/>
        <v>14.488199999999999</v>
      </c>
      <c r="AX40" s="267"/>
      <c r="AY40" s="267">
        <f t="shared" si="48"/>
        <v>14.488199999999999</v>
      </c>
      <c r="BA40" s="82">
        <f t="shared" si="19"/>
        <v>0</v>
      </c>
      <c r="BB40" s="67"/>
      <c r="BC40" s="67"/>
      <c r="BD40" s="67"/>
    </row>
    <row r="41" spans="1:56" s="340" customFormat="1" x14ac:dyDescent="0.2">
      <c r="A41" s="514"/>
      <c r="B41" s="515"/>
      <c r="C41" s="516"/>
      <c r="D41" s="273">
        <v>675.3</v>
      </c>
      <c r="E41" s="94"/>
      <c r="F41" s="97" t="s">
        <v>485</v>
      </c>
      <c r="G41" s="55"/>
      <c r="H41" s="131">
        <v>2</v>
      </c>
      <c r="I41" s="97"/>
      <c r="J41" s="550">
        <v>108139.46740953409</v>
      </c>
      <c r="K41" s="267"/>
      <c r="L41" s="130">
        <f t="shared" si="33"/>
        <v>54199.501065658485</v>
      </c>
      <c r="M41" s="94"/>
      <c r="N41" s="130">
        <f t="shared" si="34"/>
        <v>34907.420079797601</v>
      </c>
      <c r="O41" s="94"/>
      <c r="P41" s="130">
        <f t="shared" si="35"/>
        <v>5136.6247019528691</v>
      </c>
      <c r="Q41" s="94"/>
      <c r="R41" s="130">
        <f t="shared" si="36"/>
        <v>9959.6449484180903</v>
      </c>
      <c r="S41" s="94"/>
      <c r="T41" s="130">
        <f t="shared" si="37"/>
        <v>3546.9745310327176</v>
      </c>
      <c r="U41" s="94"/>
      <c r="V41" s="130">
        <f t="shared" si="38"/>
        <v>194.65104133716136</v>
      </c>
      <c r="W41" s="94"/>
      <c r="X41" s="130">
        <f t="shared" si="39"/>
        <v>194.65104133716136</v>
      </c>
      <c r="Y41" s="94"/>
      <c r="Z41" s="94">
        <f t="shared" si="7"/>
        <v>0</v>
      </c>
      <c r="AC41" s="97" t="s">
        <v>485</v>
      </c>
      <c r="AE41" s="112">
        <f t="shared" si="49"/>
        <v>2</v>
      </c>
      <c r="AG41" s="550">
        <f t="shared" si="50"/>
        <v>108139.46740953409</v>
      </c>
      <c r="AH41" s="267"/>
      <c r="AI41" s="130">
        <f t="shared" si="40"/>
        <v>61401.589595133453</v>
      </c>
      <c r="AJ41" s="94"/>
      <c r="AK41" s="130">
        <f t="shared" si="41"/>
        <v>46348.575731726305</v>
      </c>
      <c r="AL41" s="94"/>
      <c r="AM41" s="130">
        <f t="shared" si="42"/>
        <v>0</v>
      </c>
      <c r="AN41" s="94"/>
      <c r="AO41" s="130">
        <f t="shared" si="43"/>
        <v>0</v>
      </c>
      <c r="AP41" s="94"/>
      <c r="AQ41" s="130">
        <f t="shared" si="44"/>
        <v>0</v>
      </c>
      <c r="AR41" s="94"/>
      <c r="AS41" s="130">
        <f t="shared" si="45"/>
        <v>0</v>
      </c>
      <c r="AT41" s="94"/>
      <c r="AU41" s="130">
        <f t="shared" si="46"/>
        <v>0</v>
      </c>
      <c r="AV41" s="130"/>
      <c r="AW41" s="130">
        <f t="shared" si="47"/>
        <v>194.65104133716136</v>
      </c>
      <c r="AX41" s="130"/>
      <c r="AY41" s="130">
        <f t="shared" si="48"/>
        <v>194.65104133716136</v>
      </c>
      <c r="BA41" s="82">
        <f t="shared" si="19"/>
        <v>0</v>
      </c>
      <c r="BB41" s="67"/>
      <c r="BC41" s="67"/>
      <c r="BD41" s="67"/>
    </row>
    <row r="42" spans="1:56" s="340" customFormat="1" x14ac:dyDescent="0.2">
      <c r="A42" s="514"/>
      <c r="B42" s="515"/>
      <c r="C42" s="516"/>
      <c r="D42" s="273">
        <v>675.3</v>
      </c>
      <c r="E42" s="94"/>
      <c r="F42" s="97" t="s">
        <v>488</v>
      </c>
      <c r="G42" s="55"/>
      <c r="H42" s="131">
        <v>2</v>
      </c>
      <c r="I42" s="97"/>
      <c r="J42" s="550">
        <v>122996</v>
      </c>
      <c r="K42" s="267"/>
      <c r="L42" s="130">
        <f t="shared" si="33"/>
        <v>61645.595199999996</v>
      </c>
      <c r="M42" s="94"/>
      <c r="N42" s="130">
        <f t="shared" si="34"/>
        <v>39703.108799999995</v>
      </c>
      <c r="O42" s="94"/>
      <c r="P42" s="130">
        <f t="shared" si="35"/>
        <v>5842.31</v>
      </c>
      <c r="Q42" s="94"/>
      <c r="R42" s="130">
        <f t="shared" si="36"/>
        <v>11327.9316</v>
      </c>
      <c r="S42" s="94"/>
      <c r="T42" s="130">
        <f t="shared" si="37"/>
        <v>4034.2687999999994</v>
      </c>
      <c r="U42" s="94"/>
      <c r="V42" s="130">
        <f t="shared" si="38"/>
        <v>221.39279999999999</v>
      </c>
      <c r="W42" s="94"/>
      <c r="X42" s="130">
        <f t="shared" si="39"/>
        <v>221.39279999999999</v>
      </c>
      <c r="Y42" s="94"/>
      <c r="Z42" s="94">
        <f t="shared" si="7"/>
        <v>0</v>
      </c>
      <c r="AC42" s="97" t="s">
        <v>488</v>
      </c>
      <c r="AE42" s="112">
        <f t="shared" si="49"/>
        <v>2</v>
      </c>
      <c r="AG42" s="550">
        <f t="shared" si="50"/>
        <v>122996</v>
      </c>
      <c r="AH42" s="267"/>
      <c r="AI42" s="130">
        <f t="shared" si="40"/>
        <v>69837.128799999991</v>
      </c>
      <c r="AJ42" s="94"/>
      <c r="AK42" s="130">
        <f t="shared" si="41"/>
        <v>52716.085599999999</v>
      </c>
      <c r="AL42" s="94"/>
      <c r="AM42" s="130">
        <f t="shared" si="42"/>
        <v>0</v>
      </c>
      <c r="AN42" s="94"/>
      <c r="AO42" s="130">
        <f t="shared" si="43"/>
        <v>0</v>
      </c>
      <c r="AP42" s="94"/>
      <c r="AQ42" s="130">
        <f t="shared" si="44"/>
        <v>0</v>
      </c>
      <c r="AR42" s="94"/>
      <c r="AS42" s="130">
        <f t="shared" si="45"/>
        <v>0</v>
      </c>
      <c r="AT42" s="94"/>
      <c r="AU42" s="130">
        <f t="shared" si="46"/>
        <v>0</v>
      </c>
      <c r="AV42" s="130"/>
      <c r="AW42" s="130">
        <f t="shared" si="47"/>
        <v>221.39279999999999</v>
      </c>
      <c r="AX42" s="130"/>
      <c r="AY42" s="130">
        <f t="shared" si="48"/>
        <v>221.39279999999999</v>
      </c>
      <c r="BA42" s="82">
        <f t="shared" si="19"/>
        <v>0</v>
      </c>
      <c r="BB42" s="67"/>
      <c r="BC42" s="67"/>
      <c r="BD42" s="67"/>
    </row>
    <row r="43" spans="1:56" s="340" customFormat="1" x14ac:dyDescent="0.2">
      <c r="A43" s="514"/>
      <c r="B43" s="515"/>
      <c r="C43" s="516"/>
      <c r="D43" s="273">
        <v>675.3</v>
      </c>
      <c r="E43" s="94"/>
      <c r="F43" s="97" t="s">
        <v>498</v>
      </c>
      <c r="G43" s="55"/>
      <c r="H43" s="131">
        <v>1</v>
      </c>
      <c r="I43" s="97"/>
      <c r="J43" s="550">
        <v>407483</v>
      </c>
      <c r="K43" s="267"/>
      <c r="L43" s="130">
        <f t="shared" si="33"/>
        <v>195917.82639999999</v>
      </c>
      <c r="M43" s="94"/>
      <c r="N43" s="130">
        <f t="shared" si="34"/>
        <v>132146.73689999999</v>
      </c>
      <c r="O43" s="94"/>
      <c r="P43" s="130">
        <f t="shared" si="35"/>
        <v>21474.3541</v>
      </c>
      <c r="Q43" s="94"/>
      <c r="R43" s="130">
        <f t="shared" si="36"/>
        <v>40544.558499999999</v>
      </c>
      <c r="S43" s="94"/>
      <c r="T43" s="130">
        <f t="shared" si="37"/>
        <v>14832.381200000002</v>
      </c>
      <c r="U43" s="94"/>
      <c r="V43" s="130">
        <f t="shared" si="38"/>
        <v>1263.1973</v>
      </c>
      <c r="W43" s="94"/>
      <c r="X43" s="130">
        <f t="shared" si="39"/>
        <v>1303.9456</v>
      </c>
      <c r="Y43" s="94"/>
      <c r="Z43" s="94">
        <f t="shared" si="7"/>
        <v>0</v>
      </c>
      <c r="AC43" s="97" t="s">
        <v>498</v>
      </c>
      <c r="AE43" s="112">
        <f t="shared" si="49"/>
        <v>1</v>
      </c>
      <c r="AG43" s="550">
        <f t="shared" si="50"/>
        <v>407483</v>
      </c>
      <c r="AH43" s="267"/>
      <c r="AI43" s="130">
        <f t="shared" si="40"/>
        <v>404915.85710000002</v>
      </c>
      <c r="AJ43" s="94"/>
      <c r="AK43" s="130">
        <f t="shared" si="41"/>
        <v>0</v>
      </c>
      <c r="AL43" s="94"/>
      <c r="AM43" s="130">
        <f t="shared" si="42"/>
        <v>0</v>
      </c>
      <c r="AN43" s="94"/>
      <c r="AO43" s="130">
        <f t="shared" si="43"/>
        <v>0</v>
      </c>
      <c r="AP43" s="94"/>
      <c r="AQ43" s="130">
        <f t="shared" si="44"/>
        <v>0</v>
      </c>
      <c r="AR43" s="94"/>
      <c r="AS43" s="130">
        <f t="shared" si="45"/>
        <v>0</v>
      </c>
      <c r="AT43" s="94"/>
      <c r="AU43" s="130">
        <f t="shared" si="46"/>
        <v>0</v>
      </c>
      <c r="AV43" s="130"/>
      <c r="AW43" s="130">
        <f t="shared" si="47"/>
        <v>1263.1973</v>
      </c>
      <c r="AX43" s="130"/>
      <c r="AY43" s="130">
        <f t="shared" si="48"/>
        <v>1303.9456</v>
      </c>
      <c r="BA43" s="82">
        <f t="shared" si="19"/>
        <v>0</v>
      </c>
      <c r="BB43" s="67"/>
      <c r="BC43" s="67"/>
      <c r="BD43" s="67"/>
    </row>
    <row r="44" spans="1:56" s="340" customFormat="1" x14ac:dyDescent="0.2">
      <c r="A44" s="514"/>
      <c r="B44" s="515"/>
      <c r="C44" s="516"/>
      <c r="D44" s="273">
        <v>675.3</v>
      </c>
      <c r="E44" s="94"/>
      <c r="F44" s="97" t="s">
        <v>500</v>
      </c>
      <c r="G44" s="55"/>
      <c r="H44" s="131">
        <v>2</v>
      </c>
      <c r="I44" s="97"/>
      <c r="J44" s="550">
        <v>22177</v>
      </c>
      <c r="K44" s="267"/>
      <c r="L44" s="130">
        <f t="shared" si="33"/>
        <v>11115.1124</v>
      </c>
      <c r="M44" s="94"/>
      <c r="N44" s="130">
        <f t="shared" si="34"/>
        <v>7158.7355999999991</v>
      </c>
      <c r="O44" s="94"/>
      <c r="P44" s="130">
        <f t="shared" si="35"/>
        <v>1053.4075</v>
      </c>
      <c r="Q44" s="94"/>
      <c r="R44" s="130">
        <f t="shared" si="36"/>
        <v>2042.5017</v>
      </c>
      <c r="S44" s="94"/>
      <c r="T44" s="130">
        <f t="shared" si="37"/>
        <v>727.40559999999994</v>
      </c>
      <c r="U44" s="94"/>
      <c r="V44" s="130">
        <f t="shared" si="38"/>
        <v>39.918599999999998</v>
      </c>
      <c r="W44" s="94"/>
      <c r="X44" s="130">
        <f t="shared" si="39"/>
        <v>39.918599999999998</v>
      </c>
      <c r="Y44" s="94"/>
      <c r="Z44" s="94">
        <f t="shared" si="7"/>
        <v>0</v>
      </c>
      <c r="AC44" s="97" t="s">
        <v>500</v>
      </c>
      <c r="AE44" s="112">
        <f t="shared" si="49"/>
        <v>2</v>
      </c>
      <c r="AG44" s="550">
        <f t="shared" si="50"/>
        <v>22177</v>
      </c>
      <c r="AH44" s="267"/>
      <c r="AI44" s="130">
        <f t="shared" si="40"/>
        <v>12592.1006</v>
      </c>
      <c r="AJ44" s="94"/>
      <c r="AK44" s="130">
        <f t="shared" si="41"/>
        <v>9505.0622000000003</v>
      </c>
      <c r="AL44" s="94"/>
      <c r="AM44" s="130">
        <f t="shared" si="42"/>
        <v>0</v>
      </c>
      <c r="AN44" s="94"/>
      <c r="AO44" s="130">
        <f t="shared" si="43"/>
        <v>0</v>
      </c>
      <c r="AP44" s="94"/>
      <c r="AQ44" s="130">
        <f t="shared" si="44"/>
        <v>0</v>
      </c>
      <c r="AR44" s="94"/>
      <c r="AS44" s="130">
        <f t="shared" si="45"/>
        <v>0</v>
      </c>
      <c r="AT44" s="94"/>
      <c r="AU44" s="130">
        <f t="shared" si="46"/>
        <v>0</v>
      </c>
      <c r="AV44" s="130"/>
      <c r="AW44" s="130">
        <f t="shared" si="47"/>
        <v>39.918599999999998</v>
      </c>
      <c r="AX44" s="130"/>
      <c r="AY44" s="130">
        <f t="shared" si="48"/>
        <v>39.918599999999998</v>
      </c>
      <c r="BA44" s="82">
        <f t="shared" si="19"/>
        <v>0</v>
      </c>
      <c r="BB44" s="67"/>
      <c r="BC44" s="67"/>
      <c r="BD44" s="67"/>
    </row>
    <row r="45" spans="1:56" s="340" customFormat="1" x14ac:dyDescent="0.2">
      <c r="A45" s="514"/>
      <c r="B45" s="515"/>
      <c r="C45" s="516"/>
      <c r="D45" s="273">
        <v>675.3</v>
      </c>
      <c r="E45" s="94"/>
      <c r="F45" s="97" t="s">
        <v>499</v>
      </c>
      <c r="G45" s="55"/>
      <c r="H45" s="131">
        <v>2</v>
      </c>
      <c r="I45" s="97"/>
      <c r="J45" s="550">
        <v>51342</v>
      </c>
      <c r="K45" s="267"/>
      <c r="L45" s="130">
        <f t="shared" si="33"/>
        <v>25732.610399999998</v>
      </c>
      <c r="M45" s="94"/>
      <c r="N45" s="130">
        <f t="shared" si="34"/>
        <v>16573.1976</v>
      </c>
      <c r="O45" s="94"/>
      <c r="P45" s="130">
        <f t="shared" si="35"/>
        <v>2438.7449999999999</v>
      </c>
      <c r="Q45" s="94"/>
      <c r="R45" s="130">
        <f t="shared" si="36"/>
        <v>4728.5982000000004</v>
      </c>
      <c r="S45" s="94"/>
      <c r="T45" s="130">
        <f t="shared" si="37"/>
        <v>1684.0175999999997</v>
      </c>
      <c r="U45" s="94"/>
      <c r="V45" s="130">
        <f t="shared" si="38"/>
        <v>92.415599999999998</v>
      </c>
      <c r="W45" s="94"/>
      <c r="X45" s="130">
        <f t="shared" si="39"/>
        <v>92.415599999999998</v>
      </c>
      <c r="Y45" s="94"/>
      <c r="Z45" s="94">
        <f t="shared" si="7"/>
        <v>0</v>
      </c>
      <c r="AC45" s="97" t="s">
        <v>499</v>
      </c>
      <c r="AE45" s="112">
        <f t="shared" si="49"/>
        <v>2</v>
      </c>
      <c r="AG45" s="550">
        <f t="shared" si="50"/>
        <v>51342</v>
      </c>
      <c r="AH45" s="267"/>
      <c r="AI45" s="130">
        <f t="shared" si="40"/>
        <v>29151.987599999997</v>
      </c>
      <c r="AJ45" s="94"/>
      <c r="AK45" s="130">
        <f t="shared" si="41"/>
        <v>22005.181199999999</v>
      </c>
      <c r="AL45" s="94"/>
      <c r="AM45" s="130">
        <f t="shared" si="42"/>
        <v>0</v>
      </c>
      <c r="AN45" s="94"/>
      <c r="AO45" s="130">
        <f t="shared" si="43"/>
        <v>0</v>
      </c>
      <c r="AP45" s="94"/>
      <c r="AQ45" s="130">
        <f t="shared" si="44"/>
        <v>0</v>
      </c>
      <c r="AR45" s="94"/>
      <c r="AS45" s="130">
        <f t="shared" si="45"/>
        <v>0</v>
      </c>
      <c r="AT45" s="94"/>
      <c r="AU45" s="130">
        <f t="shared" si="46"/>
        <v>0</v>
      </c>
      <c r="AV45" s="130"/>
      <c r="AW45" s="130">
        <f t="shared" si="47"/>
        <v>92.415599999999998</v>
      </c>
      <c r="AX45" s="130"/>
      <c r="AY45" s="130">
        <f t="shared" si="48"/>
        <v>92.415599999999998</v>
      </c>
      <c r="BA45" s="82">
        <f t="shared" si="19"/>
        <v>0</v>
      </c>
      <c r="BB45" s="67"/>
      <c r="BC45" s="67"/>
      <c r="BD45" s="67"/>
    </row>
    <row r="46" spans="1:56" s="340" customFormat="1" x14ac:dyDescent="0.2">
      <c r="A46" s="514"/>
      <c r="B46" s="515"/>
      <c r="C46" s="516"/>
      <c r="D46" s="273">
        <v>675.3</v>
      </c>
      <c r="E46" s="94"/>
      <c r="F46" s="97" t="s">
        <v>508</v>
      </c>
      <c r="G46" s="55"/>
      <c r="H46" s="131">
        <v>2</v>
      </c>
      <c r="I46" s="97"/>
      <c r="J46" s="550">
        <v>6985</v>
      </c>
      <c r="K46" s="267"/>
      <c r="L46" s="130">
        <f t="shared" si="33"/>
        <v>3500.8820000000001</v>
      </c>
      <c r="M46" s="94"/>
      <c r="N46" s="130">
        <f t="shared" si="34"/>
        <v>2254.7579999999998</v>
      </c>
      <c r="O46" s="94"/>
      <c r="P46" s="130">
        <f t="shared" si="35"/>
        <v>331.78750000000002</v>
      </c>
      <c r="Q46" s="94"/>
      <c r="R46" s="130">
        <f t="shared" si="36"/>
        <v>643.31849999999997</v>
      </c>
      <c r="S46" s="94"/>
      <c r="T46" s="130">
        <f t="shared" si="37"/>
        <v>229.10799999999998</v>
      </c>
      <c r="U46" s="94"/>
      <c r="V46" s="130">
        <f t="shared" si="38"/>
        <v>12.573</v>
      </c>
      <c r="W46" s="94"/>
      <c r="X46" s="130">
        <f t="shared" si="39"/>
        <v>12.573</v>
      </c>
      <c r="Y46" s="94"/>
      <c r="Z46" s="94">
        <f t="shared" si="7"/>
        <v>0</v>
      </c>
      <c r="AC46" s="97" t="s">
        <v>508</v>
      </c>
      <c r="AE46" s="112">
        <f t="shared" si="49"/>
        <v>2</v>
      </c>
      <c r="AG46" s="550">
        <f t="shared" si="50"/>
        <v>6985</v>
      </c>
      <c r="AH46" s="267"/>
      <c r="AI46" s="130">
        <f t="shared" si="40"/>
        <v>3966.0829999999996</v>
      </c>
      <c r="AJ46" s="94"/>
      <c r="AK46" s="130">
        <f t="shared" si="41"/>
        <v>2993.7709999999997</v>
      </c>
      <c r="AL46" s="94"/>
      <c r="AM46" s="130">
        <f t="shared" si="42"/>
        <v>0</v>
      </c>
      <c r="AN46" s="94"/>
      <c r="AO46" s="130">
        <f t="shared" si="43"/>
        <v>0</v>
      </c>
      <c r="AP46" s="94"/>
      <c r="AQ46" s="130">
        <f t="shared" si="44"/>
        <v>0</v>
      </c>
      <c r="AR46" s="94"/>
      <c r="AS46" s="130">
        <f t="shared" si="45"/>
        <v>0</v>
      </c>
      <c r="AT46" s="94"/>
      <c r="AU46" s="130">
        <f t="shared" si="46"/>
        <v>0</v>
      </c>
      <c r="AV46" s="130"/>
      <c r="AW46" s="130">
        <f t="shared" si="47"/>
        <v>12.573</v>
      </c>
      <c r="AX46" s="130"/>
      <c r="AY46" s="130">
        <f t="shared" si="48"/>
        <v>12.573</v>
      </c>
      <c r="BA46" s="82">
        <f t="shared" si="19"/>
        <v>0</v>
      </c>
      <c r="BB46" s="67"/>
      <c r="BC46" s="67"/>
      <c r="BD46" s="67"/>
    </row>
    <row r="47" spans="1:56" s="340" customFormat="1" x14ac:dyDescent="0.2">
      <c r="A47" s="514"/>
      <c r="B47" s="515"/>
      <c r="C47" s="516"/>
      <c r="D47" s="273">
        <v>675.3</v>
      </c>
      <c r="E47" s="94"/>
      <c r="F47" s="97" t="s">
        <v>513</v>
      </c>
      <c r="G47" s="55"/>
      <c r="H47" s="131">
        <v>2</v>
      </c>
      <c r="I47" s="97"/>
      <c r="J47" s="550">
        <v>2923</v>
      </c>
      <c r="K47" s="267"/>
      <c r="L47" s="130">
        <f t="shared" si="33"/>
        <v>1465.0075999999999</v>
      </c>
      <c r="M47" s="94"/>
      <c r="N47" s="130">
        <f t="shared" si="34"/>
        <v>943.54439999999988</v>
      </c>
      <c r="O47" s="94"/>
      <c r="P47" s="130">
        <f t="shared" si="35"/>
        <v>138.8425</v>
      </c>
      <c r="Q47" s="94"/>
      <c r="R47" s="130">
        <f t="shared" si="36"/>
        <v>269.20830000000001</v>
      </c>
      <c r="S47" s="94"/>
      <c r="T47" s="130">
        <f t="shared" si="37"/>
        <v>95.874399999999994</v>
      </c>
      <c r="U47" s="94"/>
      <c r="V47" s="130">
        <f t="shared" si="38"/>
        <v>5.2614000000000001</v>
      </c>
      <c r="W47" s="94"/>
      <c r="X47" s="130">
        <f t="shared" si="39"/>
        <v>5.2614000000000001</v>
      </c>
      <c r="Y47" s="94"/>
      <c r="Z47" s="94">
        <f t="shared" si="7"/>
        <v>0</v>
      </c>
      <c r="AC47" s="97" t="s">
        <v>513</v>
      </c>
      <c r="AE47" s="112">
        <f t="shared" si="49"/>
        <v>2</v>
      </c>
      <c r="AG47" s="550">
        <f t="shared" si="50"/>
        <v>2923</v>
      </c>
      <c r="AH47" s="267"/>
      <c r="AI47" s="130">
        <f t="shared" si="40"/>
        <v>1659.6794</v>
      </c>
      <c r="AJ47" s="94"/>
      <c r="AK47" s="130">
        <f t="shared" si="41"/>
        <v>1252.7978000000001</v>
      </c>
      <c r="AL47" s="94"/>
      <c r="AM47" s="130">
        <f t="shared" si="42"/>
        <v>0</v>
      </c>
      <c r="AN47" s="94"/>
      <c r="AO47" s="130">
        <f t="shared" si="43"/>
        <v>0</v>
      </c>
      <c r="AP47" s="94"/>
      <c r="AQ47" s="130">
        <f t="shared" si="44"/>
        <v>0</v>
      </c>
      <c r="AR47" s="94"/>
      <c r="AS47" s="130">
        <f t="shared" si="45"/>
        <v>0</v>
      </c>
      <c r="AT47" s="94"/>
      <c r="AU47" s="130">
        <f t="shared" si="46"/>
        <v>0</v>
      </c>
      <c r="AV47" s="130"/>
      <c r="AW47" s="130">
        <f t="shared" si="47"/>
        <v>5.2614000000000001</v>
      </c>
      <c r="AX47" s="130"/>
      <c r="AY47" s="130">
        <f t="shared" si="48"/>
        <v>5.2614000000000001</v>
      </c>
      <c r="BA47" s="82">
        <f t="shared" si="19"/>
        <v>0</v>
      </c>
      <c r="BB47" s="67"/>
      <c r="BC47" s="67"/>
      <c r="BD47" s="67"/>
    </row>
    <row r="48" spans="1:56" s="340" customFormat="1" x14ac:dyDescent="0.2">
      <c r="A48" s="514"/>
      <c r="B48" s="515"/>
      <c r="C48" s="516"/>
      <c r="D48" s="273">
        <v>675.3</v>
      </c>
      <c r="E48" s="94"/>
      <c r="F48" s="97" t="s">
        <v>516</v>
      </c>
      <c r="G48" s="55"/>
      <c r="H48" s="131">
        <v>2</v>
      </c>
      <c r="I48" s="97"/>
      <c r="J48" s="550">
        <v>7884</v>
      </c>
      <c r="K48" s="267"/>
      <c r="L48" s="130">
        <f t="shared" si="33"/>
        <v>3951.4607999999998</v>
      </c>
      <c r="M48" s="94"/>
      <c r="N48" s="130">
        <f t="shared" si="34"/>
        <v>2544.9551999999999</v>
      </c>
      <c r="O48" s="94"/>
      <c r="P48" s="130">
        <f t="shared" si="35"/>
        <v>374.49</v>
      </c>
      <c r="Q48" s="94"/>
      <c r="R48" s="130">
        <f t="shared" si="36"/>
        <v>726.1164</v>
      </c>
      <c r="S48" s="94"/>
      <c r="T48" s="130">
        <f t="shared" si="37"/>
        <v>258.59519999999998</v>
      </c>
      <c r="U48" s="94"/>
      <c r="V48" s="130">
        <f t="shared" si="38"/>
        <v>14.1912</v>
      </c>
      <c r="W48" s="94"/>
      <c r="X48" s="130">
        <f t="shared" si="39"/>
        <v>14.1912</v>
      </c>
      <c r="Y48" s="94"/>
      <c r="Z48" s="94">
        <f t="shared" si="7"/>
        <v>0</v>
      </c>
      <c r="AC48" s="97" t="s">
        <v>516</v>
      </c>
      <c r="AE48" s="112">
        <f t="shared" si="49"/>
        <v>2</v>
      </c>
      <c r="AG48" s="550">
        <f t="shared" si="50"/>
        <v>7884</v>
      </c>
      <c r="AH48" s="267"/>
      <c r="AI48" s="130">
        <f t="shared" si="40"/>
        <v>4476.5351999999993</v>
      </c>
      <c r="AJ48" s="94"/>
      <c r="AK48" s="130">
        <f t="shared" si="41"/>
        <v>3379.0823999999998</v>
      </c>
      <c r="AL48" s="94"/>
      <c r="AM48" s="130">
        <f t="shared" si="42"/>
        <v>0</v>
      </c>
      <c r="AN48" s="94"/>
      <c r="AO48" s="130">
        <f t="shared" si="43"/>
        <v>0</v>
      </c>
      <c r="AP48" s="94"/>
      <c r="AQ48" s="130">
        <f t="shared" si="44"/>
        <v>0</v>
      </c>
      <c r="AR48" s="94"/>
      <c r="AS48" s="130">
        <f t="shared" si="45"/>
        <v>0</v>
      </c>
      <c r="AT48" s="94"/>
      <c r="AU48" s="130">
        <f t="shared" si="46"/>
        <v>0</v>
      </c>
      <c r="AV48" s="130"/>
      <c r="AW48" s="130">
        <f t="shared" si="47"/>
        <v>14.1912</v>
      </c>
      <c r="AX48" s="130"/>
      <c r="AY48" s="130">
        <f t="shared" si="48"/>
        <v>14.1912</v>
      </c>
      <c r="BA48" s="82">
        <f t="shared" si="19"/>
        <v>0</v>
      </c>
      <c r="BB48" s="67"/>
      <c r="BC48" s="67"/>
      <c r="BD48" s="67"/>
    </row>
    <row r="49" spans="1:56" s="340" customFormat="1" x14ac:dyDescent="0.2">
      <c r="A49" s="514"/>
      <c r="B49" s="515"/>
      <c r="C49" s="516"/>
      <c r="D49" s="273">
        <v>675.3</v>
      </c>
      <c r="E49" s="94"/>
      <c r="F49" s="97" t="s">
        <v>611</v>
      </c>
      <c r="G49" s="55"/>
      <c r="H49" s="131">
        <v>2</v>
      </c>
      <c r="I49" s="97"/>
      <c r="J49" s="550">
        <v>8702</v>
      </c>
      <c r="K49" s="267"/>
      <c r="L49" s="130">
        <f t="shared" si="33"/>
        <v>4361.4423999999999</v>
      </c>
      <c r="M49" s="94"/>
      <c r="N49" s="130">
        <f t="shared" si="34"/>
        <v>2809.0056</v>
      </c>
      <c r="O49" s="94"/>
      <c r="P49" s="130">
        <f t="shared" si="35"/>
        <v>413.34500000000003</v>
      </c>
      <c r="Q49" s="94"/>
      <c r="R49" s="130">
        <f t="shared" si="36"/>
        <v>801.45420000000001</v>
      </c>
      <c r="S49" s="94"/>
      <c r="T49" s="130">
        <f t="shared" si="37"/>
        <v>285.42559999999997</v>
      </c>
      <c r="U49" s="94"/>
      <c r="V49" s="130">
        <f t="shared" si="38"/>
        <v>15.663599999999999</v>
      </c>
      <c r="W49" s="94"/>
      <c r="X49" s="130">
        <f t="shared" si="39"/>
        <v>15.663599999999999</v>
      </c>
      <c r="Y49" s="94"/>
      <c r="Z49" s="94">
        <f t="shared" si="7"/>
        <v>0</v>
      </c>
      <c r="AC49" s="97" t="s">
        <v>520</v>
      </c>
      <c r="AE49" s="112">
        <f t="shared" si="49"/>
        <v>2</v>
      </c>
      <c r="AG49" s="550">
        <f t="shared" si="50"/>
        <v>8702</v>
      </c>
      <c r="AH49" s="267"/>
      <c r="AI49" s="130">
        <f t="shared" si="40"/>
        <v>4940.9956000000002</v>
      </c>
      <c r="AJ49" s="94"/>
      <c r="AK49" s="130">
        <f t="shared" si="41"/>
        <v>3729.6771999999996</v>
      </c>
      <c r="AL49" s="94"/>
      <c r="AM49" s="130">
        <f t="shared" si="42"/>
        <v>0</v>
      </c>
      <c r="AN49" s="94"/>
      <c r="AO49" s="130">
        <f t="shared" si="43"/>
        <v>0</v>
      </c>
      <c r="AP49" s="94"/>
      <c r="AQ49" s="130">
        <f t="shared" si="44"/>
        <v>0</v>
      </c>
      <c r="AR49" s="94"/>
      <c r="AS49" s="130">
        <f t="shared" si="45"/>
        <v>0</v>
      </c>
      <c r="AT49" s="94"/>
      <c r="AU49" s="130">
        <f t="shared" si="46"/>
        <v>0</v>
      </c>
      <c r="AV49" s="130"/>
      <c r="AW49" s="130">
        <f t="shared" si="47"/>
        <v>15.663599999999999</v>
      </c>
      <c r="AX49" s="130"/>
      <c r="AY49" s="130">
        <f t="shared" si="48"/>
        <v>15.663599999999999</v>
      </c>
      <c r="BA49" s="82">
        <f t="shared" si="19"/>
        <v>0</v>
      </c>
      <c r="BB49" s="67"/>
      <c r="BC49" s="67"/>
      <c r="BD49" s="67"/>
    </row>
    <row r="50" spans="1:56" s="340" customFormat="1" x14ac:dyDescent="0.2">
      <c r="A50" s="514"/>
      <c r="B50" s="515"/>
      <c r="C50" s="516"/>
      <c r="D50" s="273">
        <v>675.3</v>
      </c>
      <c r="E50" s="94"/>
      <c r="F50" s="97" t="s">
        <v>522</v>
      </c>
      <c r="G50" s="55"/>
      <c r="H50" s="131">
        <v>2</v>
      </c>
      <c r="I50" s="97"/>
      <c r="J50" s="550">
        <v>27775</v>
      </c>
      <c r="K50" s="267"/>
      <c r="L50" s="130">
        <f t="shared" si="33"/>
        <v>13920.83</v>
      </c>
      <c r="M50" s="94"/>
      <c r="N50" s="130">
        <f t="shared" si="34"/>
        <v>8965.7699999999986</v>
      </c>
      <c r="O50" s="94"/>
      <c r="P50" s="130">
        <f t="shared" si="35"/>
        <v>1319.3125</v>
      </c>
      <c r="Q50" s="94"/>
      <c r="R50" s="130">
        <f t="shared" si="36"/>
        <v>2558.0774999999999</v>
      </c>
      <c r="S50" s="94"/>
      <c r="T50" s="130">
        <f t="shared" si="37"/>
        <v>911.01999999999987</v>
      </c>
      <c r="U50" s="94"/>
      <c r="V50" s="130">
        <f t="shared" si="38"/>
        <v>49.994999999999997</v>
      </c>
      <c r="W50" s="94"/>
      <c r="X50" s="130">
        <f t="shared" si="39"/>
        <v>49.994999999999997</v>
      </c>
      <c r="Y50" s="94"/>
      <c r="Z50" s="94">
        <f t="shared" si="7"/>
        <v>0</v>
      </c>
      <c r="AC50" s="97" t="s">
        <v>522</v>
      </c>
      <c r="AE50" s="112">
        <f t="shared" si="49"/>
        <v>2</v>
      </c>
      <c r="AG50" s="550">
        <f t="shared" si="50"/>
        <v>27775</v>
      </c>
      <c r="AH50" s="267"/>
      <c r="AI50" s="130">
        <f t="shared" si="40"/>
        <v>15770.644999999999</v>
      </c>
      <c r="AJ50" s="94"/>
      <c r="AK50" s="130">
        <f t="shared" si="41"/>
        <v>11904.365</v>
      </c>
      <c r="AL50" s="94"/>
      <c r="AM50" s="130">
        <f t="shared" si="42"/>
        <v>0</v>
      </c>
      <c r="AN50" s="94"/>
      <c r="AO50" s="130">
        <f t="shared" si="43"/>
        <v>0</v>
      </c>
      <c r="AP50" s="94"/>
      <c r="AQ50" s="130">
        <f t="shared" si="44"/>
        <v>0</v>
      </c>
      <c r="AR50" s="94"/>
      <c r="AS50" s="130">
        <f t="shared" si="45"/>
        <v>0</v>
      </c>
      <c r="AT50" s="94"/>
      <c r="AU50" s="130">
        <f t="shared" si="46"/>
        <v>0</v>
      </c>
      <c r="AV50" s="130"/>
      <c r="AW50" s="130">
        <f t="shared" si="47"/>
        <v>49.994999999999997</v>
      </c>
      <c r="AX50" s="130"/>
      <c r="AY50" s="130">
        <f t="shared" si="48"/>
        <v>49.994999999999997</v>
      </c>
      <c r="BA50" s="82">
        <f t="shared" si="19"/>
        <v>0</v>
      </c>
      <c r="BB50" s="67"/>
      <c r="BC50" s="67"/>
      <c r="BD50" s="67"/>
    </row>
    <row r="51" spans="1:56" s="340" customFormat="1" x14ac:dyDescent="0.2">
      <c r="A51" s="514"/>
      <c r="B51" s="515"/>
      <c r="C51" s="516"/>
      <c r="D51" s="273">
        <v>675.3</v>
      </c>
      <c r="E51" s="94"/>
      <c r="F51" s="97" t="s">
        <v>525</v>
      </c>
      <c r="G51" s="55"/>
      <c r="H51" s="131">
        <v>2</v>
      </c>
      <c r="I51" s="97"/>
      <c r="J51" s="515">
        <v>6032</v>
      </c>
      <c r="K51" s="267"/>
      <c r="L51" s="267">
        <f t="shared" si="33"/>
        <v>3023.2383999999997</v>
      </c>
      <c r="M51" s="267"/>
      <c r="N51" s="267">
        <f t="shared" si="34"/>
        <v>1947.1295999999998</v>
      </c>
      <c r="O51" s="267"/>
      <c r="P51" s="267">
        <f t="shared" si="35"/>
        <v>286.52</v>
      </c>
      <c r="Q51" s="267"/>
      <c r="R51" s="267">
        <f t="shared" si="36"/>
        <v>555.54719999999998</v>
      </c>
      <c r="S51" s="267"/>
      <c r="T51" s="267">
        <f t="shared" si="37"/>
        <v>197.84959999999998</v>
      </c>
      <c r="U51" s="267"/>
      <c r="V51" s="267">
        <f t="shared" si="38"/>
        <v>10.8576</v>
      </c>
      <c r="W51" s="267"/>
      <c r="X51" s="267">
        <f t="shared" si="39"/>
        <v>10.8576</v>
      </c>
      <c r="Y51" s="94"/>
      <c r="Z51" s="94">
        <f t="shared" si="7"/>
        <v>0</v>
      </c>
      <c r="AC51" s="97" t="s">
        <v>525</v>
      </c>
      <c r="AE51" s="112">
        <f t="shared" si="49"/>
        <v>2</v>
      </c>
      <c r="AG51" s="550">
        <f t="shared" ref="AG51:AG52" si="51">+J51</f>
        <v>6032</v>
      </c>
      <c r="AH51" s="267"/>
      <c r="AI51" s="130">
        <f t="shared" si="40"/>
        <v>3424.9695999999999</v>
      </c>
      <c r="AJ51" s="94"/>
      <c r="AK51" s="130">
        <f t="shared" si="41"/>
        <v>2585.3152</v>
      </c>
      <c r="AL51" s="94"/>
      <c r="AM51" s="130">
        <f t="shared" si="42"/>
        <v>0</v>
      </c>
      <c r="AN51" s="94"/>
      <c r="AO51" s="130">
        <f t="shared" si="43"/>
        <v>0</v>
      </c>
      <c r="AP51" s="94"/>
      <c r="AQ51" s="130">
        <f t="shared" si="44"/>
        <v>0</v>
      </c>
      <c r="AR51" s="94"/>
      <c r="AS51" s="130">
        <f t="shared" si="45"/>
        <v>0</v>
      </c>
      <c r="AT51" s="94"/>
      <c r="AU51" s="130">
        <f t="shared" si="46"/>
        <v>0</v>
      </c>
      <c r="AV51" s="130"/>
      <c r="AW51" s="130">
        <f t="shared" si="47"/>
        <v>10.8576</v>
      </c>
      <c r="AX51" s="130"/>
      <c r="AY51" s="130">
        <f t="shared" si="48"/>
        <v>10.8576</v>
      </c>
      <c r="BA51" s="82">
        <f t="shared" ref="BA51:BA52" si="52">SUM(AI51:AY51)-AG51</f>
        <v>0</v>
      </c>
      <c r="BB51" s="67"/>
      <c r="BC51" s="67"/>
      <c r="BD51" s="67"/>
    </row>
    <row r="52" spans="1:56" s="340" customFormat="1" x14ac:dyDescent="0.2">
      <c r="A52" s="514"/>
      <c r="B52" s="515"/>
      <c r="C52" s="516"/>
      <c r="D52" s="273">
        <v>675.3</v>
      </c>
      <c r="E52" s="94"/>
      <c r="F52" s="97" t="s">
        <v>520</v>
      </c>
      <c r="G52" s="55"/>
      <c r="H52" s="131">
        <v>2</v>
      </c>
      <c r="I52" s="97"/>
      <c r="J52" s="515">
        <v>10901</v>
      </c>
      <c r="K52" s="267"/>
      <c r="L52" s="267">
        <f t="shared" si="33"/>
        <v>5463.5811999999996</v>
      </c>
      <c r="M52" s="267"/>
      <c r="N52" s="267">
        <f t="shared" si="34"/>
        <v>3518.8427999999999</v>
      </c>
      <c r="O52" s="267"/>
      <c r="P52" s="267">
        <f t="shared" si="35"/>
        <v>517.79750000000001</v>
      </c>
      <c r="Q52" s="267"/>
      <c r="R52" s="267">
        <f t="shared" si="36"/>
        <v>1003.9821000000001</v>
      </c>
      <c r="S52" s="267"/>
      <c r="T52" s="267">
        <f t="shared" si="37"/>
        <v>357.55279999999993</v>
      </c>
      <c r="U52" s="267"/>
      <c r="V52" s="267">
        <f t="shared" si="38"/>
        <v>19.6218</v>
      </c>
      <c r="W52" s="267"/>
      <c r="X52" s="267">
        <f t="shared" si="39"/>
        <v>19.6218</v>
      </c>
      <c r="Y52" s="94"/>
      <c r="Z52" s="94">
        <f t="shared" si="7"/>
        <v>0</v>
      </c>
      <c r="AC52" s="97" t="s">
        <v>520</v>
      </c>
      <c r="AE52" s="112">
        <f t="shared" si="49"/>
        <v>2</v>
      </c>
      <c r="AG52" s="553">
        <f t="shared" si="51"/>
        <v>10901</v>
      </c>
      <c r="AH52" s="130"/>
      <c r="AI52" s="553">
        <f t="shared" si="40"/>
        <v>6189.5877999999993</v>
      </c>
      <c r="AJ52" s="130"/>
      <c r="AK52" s="553">
        <f t="shared" si="41"/>
        <v>4672.1686</v>
      </c>
      <c r="AL52" s="130"/>
      <c r="AM52" s="553">
        <f t="shared" si="42"/>
        <v>0</v>
      </c>
      <c r="AN52" s="130"/>
      <c r="AO52" s="553">
        <f t="shared" si="43"/>
        <v>0</v>
      </c>
      <c r="AP52" s="130"/>
      <c r="AQ52" s="553">
        <f t="shared" si="44"/>
        <v>0</v>
      </c>
      <c r="AR52" s="130"/>
      <c r="AS52" s="553">
        <f t="shared" si="45"/>
        <v>0</v>
      </c>
      <c r="AT52" s="130"/>
      <c r="AU52" s="553">
        <f t="shared" si="46"/>
        <v>0</v>
      </c>
      <c r="AV52" s="130"/>
      <c r="AW52" s="553">
        <f t="shared" si="47"/>
        <v>19.6218</v>
      </c>
      <c r="AX52" s="130"/>
      <c r="AY52" s="553">
        <f t="shared" si="48"/>
        <v>19.6218</v>
      </c>
      <c r="BA52" s="82">
        <f t="shared" si="52"/>
        <v>0</v>
      </c>
      <c r="BB52" s="67"/>
      <c r="BC52" s="67"/>
      <c r="BD52" s="67"/>
    </row>
    <row r="53" spans="1:56" s="340" customFormat="1" x14ac:dyDescent="0.2">
      <c r="A53" s="551"/>
      <c r="B53" s="551"/>
      <c r="C53" s="516"/>
      <c r="D53" s="273"/>
      <c r="E53" s="94"/>
      <c r="F53" s="97"/>
      <c r="G53" s="55"/>
      <c r="H53" s="131"/>
      <c r="I53" s="97"/>
      <c r="J53" s="646"/>
      <c r="K53" s="267"/>
      <c r="L53" s="647"/>
      <c r="M53" s="267"/>
      <c r="N53" s="647"/>
      <c r="O53" s="267"/>
      <c r="P53" s="647"/>
      <c r="Q53" s="267"/>
      <c r="R53" s="647"/>
      <c r="S53" s="267"/>
      <c r="T53" s="647"/>
      <c r="U53" s="267"/>
      <c r="V53" s="647"/>
      <c r="W53" s="267"/>
      <c r="X53" s="647"/>
      <c r="Z53" s="94">
        <f t="shared" si="7"/>
        <v>0</v>
      </c>
      <c r="AC53" s="97"/>
      <c r="AG53" s="550"/>
      <c r="AH53" s="267"/>
      <c r="AI53" s="267"/>
      <c r="AJ53" s="267"/>
      <c r="AK53" s="267"/>
      <c r="AL53" s="267"/>
      <c r="AM53" s="267"/>
      <c r="AN53" s="267"/>
      <c r="AO53" s="267"/>
      <c r="AP53" s="267"/>
      <c r="AQ53" s="267"/>
      <c r="AR53" s="267"/>
      <c r="AS53" s="267"/>
      <c r="AT53" s="267"/>
      <c r="AU53" s="267"/>
      <c r="AV53" s="267"/>
      <c r="AW53" s="267"/>
      <c r="AX53" s="267"/>
      <c r="AY53" s="267"/>
      <c r="BA53" s="82">
        <f t="shared" si="19"/>
        <v>0</v>
      </c>
      <c r="BB53" s="67"/>
      <c r="BC53" s="67"/>
      <c r="BD53" s="67"/>
    </row>
    <row r="54" spans="1:56" s="340" customFormat="1" x14ac:dyDescent="0.2">
      <c r="A54" s="551"/>
      <c r="B54" s="551"/>
      <c r="C54" s="516"/>
      <c r="D54" s="273"/>
      <c r="E54" s="94"/>
      <c r="F54" s="97" t="s">
        <v>40</v>
      </c>
      <c r="G54" s="55"/>
      <c r="H54" s="131"/>
      <c r="I54" s="97"/>
      <c r="J54" s="553">
        <f>SUM(J34:J53)</f>
        <v>11226849.746706296</v>
      </c>
      <c r="K54" s="130"/>
      <c r="L54" s="553">
        <f>SUM(L34:L53)</f>
        <v>5485890.7833022252</v>
      </c>
      <c r="M54" s="130"/>
      <c r="N54" s="553">
        <f>SUM(N34:N53)</f>
        <v>3634395.209247598</v>
      </c>
      <c r="O54" s="130"/>
      <c r="P54" s="553">
        <f>SUM(P34:P53)</f>
        <v>569218.14780601196</v>
      </c>
      <c r="Q54" s="130"/>
      <c r="R54" s="553">
        <f>SUM(R34:R53)</f>
        <v>1085142.209324962</v>
      </c>
      <c r="S54" s="130"/>
      <c r="T54" s="553">
        <f>SUM(T34:T53)</f>
        <v>393124.13811790233</v>
      </c>
      <c r="U54" s="130"/>
      <c r="V54" s="553">
        <f>SUM(V34:V53)</f>
        <v>29194.025753437043</v>
      </c>
      <c r="W54" s="130"/>
      <c r="X54" s="553">
        <f>SUM(X34:X53)</f>
        <v>29885.233154157486</v>
      </c>
      <c r="Z54" s="94">
        <f t="shared" si="7"/>
        <v>0</v>
      </c>
      <c r="AC54" s="97" t="s">
        <v>40</v>
      </c>
      <c r="AD54" s="55"/>
      <c r="AE54" s="131"/>
      <c r="AF54" s="97"/>
      <c r="AG54" s="553">
        <f>SUM(AG34:AG53)</f>
        <v>11226849.746706296</v>
      </c>
      <c r="AH54" s="130"/>
      <c r="AI54" s="553">
        <f>SUM(AI34:AI53)</f>
        <v>9318457.6058481894</v>
      </c>
      <c r="AJ54" s="130"/>
      <c r="AK54" s="553">
        <f>SUM(AK34:AK53)</f>
        <v>1849312.8819505144</v>
      </c>
      <c r="AL54" s="130"/>
      <c r="AM54" s="553">
        <f>SUM(AM34:AM53)</f>
        <v>0</v>
      </c>
      <c r="AN54" s="130"/>
      <c r="AO54" s="553">
        <f>SUM(AO34:AO53)</f>
        <v>0</v>
      </c>
      <c r="AP54" s="130"/>
      <c r="AQ54" s="553">
        <f>SUM(AQ34:AQ53)</f>
        <v>0</v>
      </c>
      <c r="AR54" s="130"/>
      <c r="AS54" s="553">
        <f>SUM(AS34:AS53)</f>
        <v>0</v>
      </c>
      <c r="AT54" s="130"/>
      <c r="AU54" s="553">
        <f>SUM(AU34:AU53)</f>
        <v>0</v>
      </c>
      <c r="AV54" s="130"/>
      <c r="AW54" s="553">
        <f>SUM(AW34:AW53)</f>
        <v>29194.025753437043</v>
      </c>
      <c r="AX54" s="130"/>
      <c r="AY54" s="553">
        <f>SUM(AY34:AY53)</f>
        <v>29885.233154157486</v>
      </c>
      <c r="BA54" s="82">
        <f t="shared" si="19"/>
        <v>0</v>
      </c>
      <c r="BB54" s="67"/>
      <c r="BC54" s="67"/>
      <c r="BD54" s="67"/>
    </row>
    <row r="55" spans="1:56" s="340" customFormat="1" x14ac:dyDescent="0.2">
      <c r="A55" s="551"/>
      <c r="B55" s="551"/>
      <c r="C55" s="516"/>
      <c r="D55" s="273"/>
      <c r="E55" s="94"/>
      <c r="F55" s="97"/>
      <c r="G55" s="55"/>
      <c r="H55" s="131"/>
      <c r="I55" s="97"/>
      <c r="J55" s="550"/>
      <c r="K55" s="267"/>
      <c r="L55" s="267"/>
      <c r="M55" s="265"/>
      <c r="N55" s="265"/>
      <c r="O55" s="265"/>
      <c r="P55" s="265"/>
      <c r="Q55" s="265"/>
      <c r="R55" s="265"/>
      <c r="S55" s="265"/>
      <c r="T55" s="265"/>
      <c r="U55" s="265"/>
      <c r="V55" s="265"/>
      <c r="W55" s="265"/>
      <c r="X55" s="265"/>
      <c r="Z55" s="94">
        <f t="shared" si="7"/>
        <v>0</v>
      </c>
      <c r="AC55" s="97"/>
      <c r="AG55" s="550"/>
      <c r="AH55" s="267"/>
      <c r="AI55" s="267"/>
      <c r="AJ55" s="265"/>
      <c r="AK55" s="265"/>
      <c r="AL55" s="265"/>
      <c r="AM55" s="265"/>
      <c r="AN55" s="265"/>
      <c r="AO55" s="265"/>
      <c r="AP55" s="265"/>
      <c r="AQ55" s="265"/>
      <c r="AR55" s="265"/>
      <c r="AS55" s="265"/>
      <c r="AT55" s="265"/>
      <c r="AU55" s="265"/>
      <c r="AV55" s="265"/>
      <c r="AW55" s="265"/>
      <c r="AX55" s="265"/>
      <c r="AY55" s="265"/>
      <c r="BA55" s="82">
        <f t="shared" si="19"/>
        <v>0</v>
      </c>
      <c r="BB55" s="67"/>
      <c r="BC55" s="67"/>
      <c r="BD55" s="67"/>
    </row>
    <row r="56" spans="1:56" s="340" customFormat="1" x14ac:dyDescent="0.2">
      <c r="A56" s="551"/>
      <c r="B56" s="551"/>
      <c r="C56" s="516"/>
      <c r="D56" s="273"/>
      <c r="E56" s="94"/>
      <c r="F56" s="97" t="s">
        <v>41</v>
      </c>
      <c r="G56" s="55"/>
      <c r="H56" s="131"/>
      <c r="I56" s="97"/>
      <c r="J56" s="550"/>
      <c r="K56" s="267"/>
      <c r="L56" s="267"/>
      <c r="M56" s="265"/>
      <c r="N56" s="265"/>
      <c r="O56" s="265"/>
      <c r="P56" s="265"/>
      <c r="Q56" s="265"/>
      <c r="R56" s="265"/>
      <c r="S56" s="265"/>
      <c r="T56" s="265"/>
      <c r="U56" s="265"/>
      <c r="V56" s="265"/>
      <c r="W56" s="265"/>
      <c r="X56" s="265"/>
      <c r="Z56" s="94">
        <f t="shared" si="7"/>
        <v>0</v>
      </c>
      <c r="AC56" s="97" t="s">
        <v>41</v>
      </c>
      <c r="AG56" s="550"/>
      <c r="AH56" s="267"/>
      <c r="AI56" s="267"/>
      <c r="AJ56" s="265"/>
      <c r="AK56" s="265"/>
      <c r="AL56" s="265"/>
      <c r="AM56" s="265"/>
      <c r="AN56" s="265"/>
      <c r="AO56" s="265"/>
      <c r="AP56" s="265"/>
      <c r="AQ56" s="265"/>
      <c r="AR56" s="265"/>
      <c r="AS56" s="265"/>
      <c r="AT56" s="265"/>
      <c r="AU56" s="265"/>
      <c r="AV56" s="265"/>
      <c r="AW56" s="265"/>
      <c r="AX56" s="265"/>
      <c r="AY56" s="265"/>
      <c r="BA56" s="82">
        <f t="shared" si="19"/>
        <v>0</v>
      </c>
      <c r="BB56" s="67"/>
      <c r="BC56" s="67"/>
      <c r="BD56" s="67"/>
    </row>
    <row r="57" spans="1:56" s="340" customFormat="1" x14ac:dyDescent="0.2">
      <c r="A57" s="551"/>
      <c r="B57" s="551"/>
      <c r="C57" s="516"/>
      <c r="D57" s="273">
        <v>601.4</v>
      </c>
      <c r="E57" s="94"/>
      <c r="F57" s="97" t="s">
        <v>422</v>
      </c>
      <c r="G57" s="55"/>
      <c r="H57" s="131">
        <v>2</v>
      </c>
      <c r="I57" s="97"/>
      <c r="J57" s="550">
        <v>0</v>
      </c>
      <c r="K57" s="267"/>
      <c r="L57" s="130">
        <f>(VLOOKUP($H57,Factors,L$378))*$J57</f>
        <v>0</v>
      </c>
      <c r="M57" s="94"/>
      <c r="N57" s="130">
        <f>(VLOOKUP($H57,Factors,N$378))*$J57</f>
        <v>0</v>
      </c>
      <c r="O57" s="94"/>
      <c r="P57" s="130">
        <f>(VLOOKUP($H57,Factors,P$378))*$J57</f>
        <v>0</v>
      </c>
      <c r="Q57" s="94"/>
      <c r="R57" s="130">
        <f>(VLOOKUP($H57,Factors,R$378))*$J57</f>
        <v>0</v>
      </c>
      <c r="S57" s="94"/>
      <c r="T57" s="130">
        <f>(VLOOKUP($H57,Factors,T$378))*$J57</f>
        <v>0</v>
      </c>
      <c r="U57" s="94"/>
      <c r="V57" s="130">
        <f>(VLOOKUP($H57,Factors,V$378))*$J57</f>
        <v>0</v>
      </c>
      <c r="W57" s="94"/>
      <c r="X57" s="130">
        <f>(VLOOKUP($H57,Factors,X$378))*$J57</f>
        <v>0</v>
      </c>
      <c r="Y57" s="94"/>
      <c r="Z57" s="94">
        <f t="shared" si="7"/>
        <v>0</v>
      </c>
      <c r="AC57" s="97" t="s">
        <v>422</v>
      </c>
      <c r="AE57" s="112">
        <f>+H57</f>
        <v>2</v>
      </c>
      <c r="AG57" s="550">
        <f>+J57</f>
        <v>0</v>
      </c>
      <c r="AH57" s="267"/>
      <c r="AI57" s="130">
        <f>(VLOOKUP($AE57,func,AI$378))*$AG57</f>
        <v>0</v>
      </c>
      <c r="AJ57" s="94"/>
      <c r="AK57" s="130">
        <f>(VLOOKUP($AE57,func,AK$378))*$AG57</f>
        <v>0</v>
      </c>
      <c r="AL57" s="94"/>
      <c r="AM57" s="130">
        <f>(VLOOKUP($AE57,func,AM$378))*$AG57</f>
        <v>0</v>
      </c>
      <c r="AN57" s="94"/>
      <c r="AO57" s="130">
        <f>(VLOOKUP($AE57,func,AO$378))*$AG57</f>
        <v>0</v>
      </c>
      <c r="AP57" s="94"/>
      <c r="AQ57" s="130">
        <f>(VLOOKUP($AE57,func,AQ$378))*$AG57</f>
        <v>0</v>
      </c>
      <c r="AR57" s="94"/>
      <c r="AS57" s="130">
        <f>(VLOOKUP($AE57,func,AS$378))*$AG57</f>
        <v>0</v>
      </c>
      <c r="AT57" s="94"/>
      <c r="AU57" s="130">
        <f>(VLOOKUP($AE57,func,AU$378))*$AG57</f>
        <v>0</v>
      </c>
      <c r="AV57" s="94"/>
      <c r="AW57" s="130">
        <f>(VLOOKUP($AE57,func,AW$378))*$AG57</f>
        <v>0</v>
      </c>
      <c r="AX57" s="94"/>
      <c r="AY57" s="130">
        <f>(VLOOKUP($AE57,func,AY$378))*$AG57</f>
        <v>0</v>
      </c>
      <c r="BA57" s="82">
        <f t="shared" si="19"/>
        <v>0</v>
      </c>
      <c r="BB57" s="67"/>
      <c r="BC57" s="67"/>
      <c r="BD57" s="67"/>
    </row>
    <row r="58" spans="1:56" s="340" customFormat="1" x14ac:dyDescent="0.2">
      <c r="A58" s="551"/>
      <c r="B58" s="551"/>
      <c r="C58" s="516"/>
      <c r="D58" s="273">
        <v>601.4</v>
      </c>
      <c r="E58" s="94"/>
      <c r="F58" s="97" t="s">
        <v>531</v>
      </c>
      <c r="G58" s="55"/>
      <c r="H58" s="131">
        <v>2</v>
      </c>
      <c r="I58" s="97"/>
      <c r="J58" s="550">
        <v>383287.94052217074</v>
      </c>
      <c r="K58" s="267"/>
      <c r="L58" s="130">
        <f>(VLOOKUP($H58,Factors,L$378))*$J58</f>
        <v>192103.91578971196</v>
      </c>
      <c r="M58" s="94"/>
      <c r="N58" s="130">
        <f>(VLOOKUP($H58,Factors,N$378))*$J58</f>
        <v>123725.3472005567</v>
      </c>
      <c r="O58" s="94"/>
      <c r="P58" s="130">
        <f>(VLOOKUP($H58,Factors,P$378))*$J58</f>
        <v>18206.17717480311</v>
      </c>
      <c r="Q58" s="94"/>
      <c r="R58" s="130">
        <f>(VLOOKUP($H58,Factors,R$378))*$J58</f>
        <v>35300.819322091927</v>
      </c>
      <c r="S58" s="94"/>
      <c r="T58" s="130">
        <f>(VLOOKUP($H58,Factors,T$378))*$J58</f>
        <v>12571.844449127198</v>
      </c>
      <c r="U58" s="94"/>
      <c r="V58" s="130">
        <f>(VLOOKUP($H58,Factors,V$378))*$J58</f>
        <v>689.91829293990736</v>
      </c>
      <c r="W58" s="94"/>
      <c r="X58" s="130">
        <f>(VLOOKUP($H58,Factors,X$378))*$J58</f>
        <v>689.91829293990736</v>
      </c>
      <c r="Y58" s="94"/>
      <c r="Z58" s="94">
        <f t="shared" si="7"/>
        <v>0</v>
      </c>
      <c r="AC58" s="97" t="s">
        <v>531</v>
      </c>
      <c r="AE58" s="112">
        <f t="shared" ref="AE58:AE61" si="53">+H58</f>
        <v>2</v>
      </c>
      <c r="AG58" s="550">
        <f t="shared" ref="AG58:AG61" si="54">+J58</f>
        <v>383287.94052217074</v>
      </c>
      <c r="AH58" s="267"/>
      <c r="AI58" s="130">
        <f>(VLOOKUP($AE58,func,AI$378))*$AG58</f>
        <v>217630.89262848854</v>
      </c>
      <c r="AJ58" s="94"/>
      <c r="AK58" s="130">
        <f>(VLOOKUP($AE58,func,AK$378))*$AG58</f>
        <v>164277.21130780238</v>
      </c>
      <c r="AL58" s="94"/>
      <c r="AM58" s="130">
        <f>(VLOOKUP($AE58,func,AM$378))*$AG58</f>
        <v>0</v>
      </c>
      <c r="AN58" s="94"/>
      <c r="AO58" s="130">
        <f>(VLOOKUP($AE58,func,AO$378))*$AG58</f>
        <v>0</v>
      </c>
      <c r="AP58" s="94"/>
      <c r="AQ58" s="130">
        <f>(VLOOKUP($AE58,func,AQ$378))*$AG58</f>
        <v>0</v>
      </c>
      <c r="AR58" s="94"/>
      <c r="AS58" s="130">
        <f>(VLOOKUP($AE58,func,AS$378))*$AG58</f>
        <v>0</v>
      </c>
      <c r="AT58" s="94"/>
      <c r="AU58" s="130">
        <f>(VLOOKUP($AE58,func,AU$378))*$AG58</f>
        <v>0</v>
      </c>
      <c r="AV58" s="94"/>
      <c r="AW58" s="130">
        <f>(VLOOKUP($AE58,func,AW$378))*$AG58</f>
        <v>689.91829293990736</v>
      </c>
      <c r="AX58" s="94"/>
      <c r="AY58" s="130">
        <f>(VLOOKUP($AE58,func,AY$378))*$AG58</f>
        <v>689.91829293990736</v>
      </c>
      <c r="BA58" s="82">
        <f t="shared" si="19"/>
        <v>0</v>
      </c>
      <c r="BB58" s="67"/>
      <c r="BC58" s="67"/>
      <c r="BD58" s="67"/>
    </row>
    <row r="59" spans="1:56" s="340" customFormat="1" x14ac:dyDescent="0.2">
      <c r="A59" s="551"/>
      <c r="B59" s="551"/>
      <c r="C59" s="516"/>
      <c r="D59" s="273">
        <v>620.4</v>
      </c>
      <c r="E59" s="94"/>
      <c r="F59" s="97" t="s">
        <v>601</v>
      </c>
      <c r="G59" s="55"/>
      <c r="H59" s="131">
        <v>2</v>
      </c>
      <c r="I59" s="97"/>
      <c r="J59" s="550">
        <v>193204</v>
      </c>
      <c r="K59" s="267"/>
      <c r="L59" s="130">
        <f>(VLOOKUP($H59,Factors,L$378))*$J59</f>
        <v>96833.844799999992</v>
      </c>
      <c r="M59" s="94"/>
      <c r="N59" s="130">
        <f>(VLOOKUP($H59,Factors,N$378))*$J59</f>
        <v>62366.251199999999</v>
      </c>
      <c r="O59" s="94"/>
      <c r="P59" s="130">
        <f>(VLOOKUP($H59,Factors,P$378))*$J59</f>
        <v>9177.19</v>
      </c>
      <c r="Q59" s="94"/>
      <c r="R59" s="130">
        <f>(VLOOKUP($H59,Factors,R$378))*$J59</f>
        <v>17794.088400000001</v>
      </c>
      <c r="S59" s="94"/>
      <c r="T59" s="130">
        <f>(VLOOKUP($H59,Factors,T$378))*$J59</f>
        <v>6337.0911999999989</v>
      </c>
      <c r="U59" s="94"/>
      <c r="V59" s="130">
        <f>(VLOOKUP($H59,Factors,V$378))*$J59</f>
        <v>347.7672</v>
      </c>
      <c r="W59" s="94"/>
      <c r="X59" s="130">
        <f>(VLOOKUP($H59,Factors,X$378))*$J59</f>
        <v>347.7672</v>
      </c>
      <c r="Y59" s="94"/>
      <c r="Z59" s="94">
        <f t="shared" si="7"/>
        <v>0</v>
      </c>
      <c r="AC59" s="97" t="s">
        <v>481</v>
      </c>
      <c r="AE59" s="112">
        <f t="shared" si="53"/>
        <v>2</v>
      </c>
      <c r="AG59" s="550">
        <f t="shared" si="54"/>
        <v>193204</v>
      </c>
      <c r="AH59" s="267"/>
      <c r="AI59" s="130">
        <f>(VLOOKUP($AE59,func,AI$378))*$AG59</f>
        <v>109701.23119999999</v>
      </c>
      <c r="AJ59" s="94"/>
      <c r="AK59" s="130">
        <f>(VLOOKUP($AE59,func,AK$378))*$AG59</f>
        <v>82807.234400000001</v>
      </c>
      <c r="AL59" s="94"/>
      <c r="AM59" s="130">
        <f>(VLOOKUP($AE59,func,AM$378))*$AG59</f>
        <v>0</v>
      </c>
      <c r="AN59" s="94"/>
      <c r="AO59" s="130">
        <f>(VLOOKUP($AE59,func,AO$378))*$AG59</f>
        <v>0</v>
      </c>
      <c r="AP59" s="94"/>
      <c r="AQ59" s="130">
        <f>(VLOOKUP($AE59,func,AQ$378))*$AG59</f>
        <v>0</v>
      </c>
      <c r="AR59" s="94"/>
      <c r="AS59" s="130">
        <f>(VLOOKUP($AE59,func,AS$378))*$AG59</f>
        <v>0</v>
      </c>
      <c r="AT59" s="94"/>
      <c r="AU59" s="130">
        <f>(VLOOKUP($AE59,func,AU$378))*$AG59</f>
        <v>0</v>
      </c>
      <c r="AV59" s="94"/>
      <c r="AW59" s="130">
        <f>(VLOOKUP($AE59,func,AW$378))*$AG59</f>
        <v>347.7672</v>
      </c>
      <c r="AX59" s="94"/>
      <c r="AY59" s="130">
        <f>(VLOOKUP($AE59,func,AY$378))*$AG59</f>
        <v>347.7672</v>
      </c>
      <c r="BA59" s="82">
        <f t="shared" si="19"/>
        <v>0</v>
      </c>
      <c r="BB59" s="67"/>
      <c r="BC59" s="67"/>
      <c r="BD59" s="67"/>
    </row>
    <row r="60" spans="1:56" s="340" customFormat="1" x14ac:dyDescent="0.2">
      <c r="A60" s="551"/>
      <c r="B60" s="551"/>
      <c r="C60" s="516"/>
      <c r="D60" s="273">
        <v>675.4</v>
      </c>
      <c r="E60" s="94"/>
      <c r="F60" s="279" t="s">
        <v>502</v>
      </c>
      <c r="G60" s="55"/>
      <c r="H60" s="131">
        <v>2</v>
      </c>
      <c r="I60" s="97"/>
      <c r="J60" s="550">
        <v>152244</v>
      </c>
      <c r="K60" s="267"/>
      <c r="L60" s="130">
        <f>(VLOOKUP($H60,Factors,L$378))*$J60</f>
        <v>76304.69279999999</v>
      </c>
      <c r="M60" s="94"/>
      <c r="N60" s="130">
        <f>(VLOOKUP($H60,Factors,N$378))*$J60</f>
        <v>49144.3632</v>
      </c>
      <c r="O60" s="94"/>
      <c r="P60" s="130">
        <f>(VLOOKUP($H60,Factors,P$378))*$J60</f>
        <v>7231.59</v>
      </c>
      <c r="Q60" s="94"/>
      <c r="R60" s="130">
        <f>(VLOOKUP($H60,Factors,R$378))*$J60</f>
        <v>14021.672399999999</v>
      </c>
      <c r="S60" s="94"/>
      <c r="T60" s="130">
        <f>(VLOOKUP($H60,Factors,T$378))*$J60</f>
        <v>4993.6031999999996</v>
      </c>
      <c r="U60" s="94"/>
      <c r="V60" s="130">
        <f>(VLOOKUP($H60,Factors,V$378))*$J60</f>
        <v>274.03919999999999</v>
      </c>
      <c r="W60" s="94"/>
      <c r="X60" s="130">
        <f>(VLOOKUP($H60,Factors,X$378))*$J60</f>
        <v>274.03919999999999</v>
      </c>
      <c r="Y60" s="94"/>
      <c r="Z60" s="94">
        <f t="shared" si="7"/>
        <v>0</v>
      </c>
      <c r="AC60" s="279" t="s">
        <v>502</v>
      </c>
      <c r="AE60" s="112">
        <f t="shared" si="53"/>
        <v>2</v>
      </c>
      <c r="AG60" s="550">
        <f t="shared" si="54"/>
        <v>152244</v>
      </c>
      <c r="AH60" s="267"/>
      <c r="AI60" s="130">
        <f>(VLOOKUP($AE60,func,AI$378))*$AG60</f>
        <v>86444.143199999991</v>
      </c>
      <c r="AJ60" s="94"/>
      <c r="AK60" s="130">
        <f>(VLOOKUP($AE60,func,AK$378))*$AG60</f>
        <v>65251.778399999996</v>
      </c>
      <c r="AL60" s="94"/>
      <c r="AM60" s="130">
        <f>(VLOOKUP($AE60,func,AM$378))*$AG60</f>
        <v>0</v>
      </c>
      <c r="AN60" s="94"/>
      <c r="AO60" s="130">
        <f>(VLOOKUP($AE60,func,AO$378))*$AG60</f>
        <v>0</v>
      </c>
      <c r="AP60" s="94"/>
      <c r="AQ60" s="130">
        <f>(VLOOKUP($AE60,func,AQ$378))*$AG60</f>
        <v>0</v>
      </c>
      <c r="AR60" s="94"/>
      <c r="AS60" s="130">
        <f>(VLOOKUP($AE60,func,AS$378))*$AG60</f>
        <v>0</v>
      </c>
      <c r="AT60" s="94"/>
      <c r="AU60" s="130">
        <f>(VLOOKUP($AE60,func,AU$378))*$AG60</f>
        <v>0</v>
      </c>
      <c r="AV60" s="94"/>
      <c r="AW60" s="130">
        <f>(VLOOKUP($AE60,func,AW$378))*$AG60</f>
        <v>274.03919999999999</v>
      </c>
      <c r="AX60" s="94"/>
      <c r="AY60" s="130">
        <f>(VLOOKUP($AE60,func,AY$378))*$AG60</f>
        <v>274.03919999999999</v>
      </c>
      <c r="BA60" s="82">
        <f t="shared" si="19"/>
        <v>0</v>
      </c>
      <c r="BB60" s="67"/>
      <c r="BC60" s="67"/>
      <c r="BD60" s="67"/>
    </row>
    <row r="61" spans="1:56" s="340" customFormat="1" x14ac:dyDescent="0.2">
      <c r="A61" s="551"/>
      <c r="B61" s="551"/>
      <c r="C61" s="516"/>
      <c r="D61" s="273">
        <v>675.4</v>
      </c>
      <c r="E61" s="94"/>
      <c r="F61" s="97" t="s">
        <v>505</v>
      </c>
      <c r="G61" s="55"/>
      <c r="H61" s="131">
        <v>2</v>
      </c>
      <c r="I61" s="97"/>
      <c r="J61" s="553">
        <v>0</v>
      </c>
      <c r="K61" s="267"/>
      <c r="L61" s="506">
        <f>(VLOOKUP($H61,Factors,L$378))*$J61</f>
        <v>0</v>
      </c>
      <c r="M61" s="267"/>
      <c r="N61" s="506">
        <f>(VLOOKUP($H61,Factors,N$378))*$J61</f>
        <v>0</v>
      </c>
      <c r="O61" s="267"/>
      <c r="P61" s="506">
        <f>(VLOOKUP($H61,Factors,P$378))*$J61</f>
        <v>0</v>
      </c>
      <c r="Q61" s="267"/>
      <c r="R61" s="506">
        <f>(VLOOKUP($H61,Factors,R$378))*$J61</f>
        <v>0</v>
      </c>
      <c r="S61" s="267"/>
      <c r="T61" s="506">
        <f>(VLOOKUP($H61,Factors,T$378))*$J61</f>
        <v>0</v>
      </c>
      <c r="U61" s="267"/>
      <c r="V61" s="506">
        <f>(VLOOKUP($H61,Factors,V$378))*$J61</f>
        <v>0</v>
      </c>
      <c r="W61" s="267"/>
      <c r="X61" s="506">
        <f>(VLOOKUP($H61,Factors,X$378))*$J61</f>
        <v>0</v>
      </c>
      <c r="Y61" s="94"/>
      <c r="Z61" s="94">
        <f t="shared" si="7"/>
        <v>0</v>
      </c>
      <c r="AC61" s="97" t="s">
        <v>505</v>
      </c>
      <c r="AE61" s="112">
        <f t="shared" si="53"/>
        <v>2</v>
      </c>
      <c r="AG61" s="553">
        <f t="shared" si="54"/>
        <v>0</v>
      </c>
      <c r="AH61" s="267"/>
      <c r="AI61" s="506">
        <f>(VLOOKUP($AE61,func,AI$378))*$AG61</f>
        <v>0</v>
      </c>
      <c r="AJ61" s="267"/>
      <c r="AK61" s="506">
        <f>(VLOOKUP($AE61,func,AK$378))*$AG61</f>
        <v>0</v>
      </c>
      <c r="AL61" s="267"/>
      <c r="AM61" s="506">
        <f>(VLOOKUP($AE61,func,AM$378))*$AG61</f>
        <v>0</v>
      </c>
      <c r="AN61" s="267"/>
      <c r="AO61" s="506">
        <f>(VLOOKUP($AE61,func,AO$378))*$AG61</f>
        <v>0</v>
      </c>
      <c r="AP61" s="267"/>
      <c r="AQ61" s="506">
        <f>(VLOOKUP($AE61,func,AQ$378))*$AG61</f>
        <v>0</v>
      </c>
      <c r="AR61" s="267"/>
      <c r="AS61" s="506">
        <f>(VLOOKUP($AE61,func,AS$378))*$AG61</f>
        <v>0</v>
      </c>
      <c r="AT61" s="267"/>
      <c r="AU61" s="506">
        <f>(VLOOKUP($AE61,func,AU$378))*$AG61</f>
        <v>0</v>
      </c>
      <c r="AV61" s="267"/>
      <c r="AW61" s="506">
        <f>(VLOOKUP($AE61,func,AW$378))*$AG61</f>
        <v>0</v>
      </c>
      <c r="AX61" s="267"/>
      <c r="AY61" s="506">
        <f>(VLOOKUP($AE61,func,AY$378))*$AG61</f>
        <v>0</v>
      </c>
      <c r="BA61" s="82">
        <f t="shared" si="19"/>
        <v>0</v>
      </c>
      <c r="BB61" s="67"/>
      <c r="BC61" s="67"/>
      <c r="BD61" s="67"/>
    </row>
    <row r="62" spans="1:56" s="340" customFormat="1" x14ac:dyDescent="0.2">
      <c r="A62" s="551"/>
      <c r="B62" s="551"/>
      <c r="C62" s="516"/>
      <c r="D62" s="273"/>
      <c r="E62" s="94"/>
      <c r="F62" s="97"/>
      <c r="G62" s="55"/>
      <c r="H62" s="131"/>
      <c r="I62" s="97"/>
      <c r="J62" s="550"/>
      <c r="K62" s="267"/>
      <c r="L62" s="267"/>
      <c r="M62" s="267"/>
      <c r="N62" s="267"/>
      <c r="O62" s="267"/>
      <c r="P62" s="267"/>
      <c r="Q62" s="267"/>
      <c r="R62" s="267"/>
      <c r="S62" s="267"/>
      <c r="T62" s="267"/>
      <c r="U62" s="267"/>
      <c r="V62" s="267"/>
      <c r="W62" s="267"/>
      <c r="X62" s="267"/>
      <c r="Z62" s="94">
        <f t="shared" si="7"/>
        <v>0</v>
      </c>
      <c r="AC62" s="97"/>
      <c r="AE62" s="112"/>
      <c r="AG62" s="550"/>
      <c r="AH62" s="267"/>
      <c r="AI62" s="267"/>
      <c r="AJ62" s="267"/>
      <c r="AK62" s="267"/>
      <c r="AL62" s="267"/>
      <c r="AM62" s="267"/>
      <c r="AN62" s="267"/>
      <c r="AO62" s="267"/>
      <c r="AP62" s="267"/>
      <c r="AQ62" s="267"/>
      <c r="AR62" s="267"/>
      <c r="AS62" s="267"/>
      <c r="AT62" s="267"/>
      <c r="AU62" s="267"/>
      <c r="AV62" s="267"/>
      <c r="AW62" s="267"/>
      <c r="AX62" s="267"/>
      <c r="AY62" s="267"/>
      <c r="BA62" s="82">
        <f t="shared" si="19"/>
        <v>0</v>
      </c>
      <c r="BB62" s="67"/>
      <c r="BC62" s="67"/>
      <c r="BD62" s="67"/>
    </row>
    <row r="63" spans="1:56" s="340" customFormat="1" x14ac:dyDescent="0.2">
      <c r="A63" s="551"/>
      <c r="B63" s="551"/>
      <c r="C63" s="516"/>
      <c r="D63" s="273"/>
      <c r="E63" s="94"/>
      <c r="F63" s="97" t="s">
        <v>42</v>
      </c>
      <c r="G63" s="55"/>
      <c r="H63" s="131"/>
      <c r="I63" s="97"/>
      <c r="J63" s="553">
        <f>SUM(J57:J62)</f>
        <v>728735.94052217074</v>
      </c>
      <c r="K63" s="130"/>
      <c r="L63" s="553">
        <f>SUM(L57:L62)</f>
        <v>365242.45338971191</v>
      </c>
      <c r="M63" s="130"/>
      <c r="N63" s="553">
        <f>SUM(N57:N62)</f>
        <v>235235.96160055671</v>
      </c>
      <c r="O63" s="130"/>
      <c r="P63" s="553">
        <f>SUM(P57:P62)</f>
        <v>34614.957174803116</v>
      </c>
      <c r="Q63" s="130"/>
      <c r="R63" s="553">
        <f>SUM(R57:R62)</f>
        <v>67116.580122091924</v>
      </c>
      <c r="S63" s="130"/>
      <c r="T63" s="553">
        <f>SUM(T57:T62)</f>
        <v>23902.538849127195</v>
      </c>
      <c r="U63" s="130"/>
      <c r="V63" s="553">
        <f>SUM(V57:V62)</f>
        <v>1311.7246929399073</v>
      </c>
      <c r="W63" s="130"/>
      <c r="X63" s="553">
        <f>SUM(X57:X62)</f>
        <v>1311.7246929399073</v>
      </c>
      <c r="Z63" s="94">
        <f t="shared" si="7"/>
        <v>0</v>
      </c>
      <c r="AC63" s="97" t="s">
        <v>42</v>
      </c>
      <c r="AD63" s="55"/>
      <c r="AE63" s="131"/>
      <c r="AF63" s="97"/>
      <c r="AG63" s="553">
        <f>SUM(AG57:AG62)</f>
        <v>728735.94052217074</v>
      </c>
      <c r="AH63" s="130"/>
      <c r="AI63" s="553">
        <f>SUM(AI57:AI62)</f>
        <v>413776.26702848851</v>
      </c>
      <c r="AJ63" s="130"/>
      <c r="AK63" s="553">
        <f>SUM(AK57:AK62)</f>
        <v>312336.22410780238</v>
      </c>
      <c r="AL63" s="130"/>
      <c r="AM63" s="553">
        <f>SUM(AM57:AM62)</f>
        <v>0</v>
      </c>
      <c r="AN63" s="130"/>
      <c r="AO63" s="553">
        <f>SUM(AO57:AO62)</f>
        <v>0</v>
      </c>
      <c r="AP63" s="130"/>
      <c r="AQ63" s="553">
        <f>SUM(AQ57:AQ62)</f>
        <v>0</v>
      </c>
      <c r="AR63" s="130"/>
      <c r="AS63" s="553">
        <f>SUM(AS57:AS62)</f>
        <v>0</v>
      </c>
      <c r="AT63" s="130"/>
      <c r="AU63" s="553">
        <f>SUM(AU57:AU62)</f>
        <v>0</v>
      </c>
      <c r="AV63" s="130"/>
      <c r="AW63" s="553">
        <f t="shared" ref="AW63" si="55">SUM(AW57:AW62)</f>
        <v>1311.7246929399073</v>
      </c>
      <c r="AX63" s="130"/>
      <c r="AY63" s="553">
        <f t="shared" ref="AY63" si="56">SUM(AY57:AY62)</f>
        <v>1311.7246929399073</v>
      </c>
      <c r="BA63" s="82">
        <f t="shared" si="19"/>
        <v>0</v>
      </c>
      <c r="BB63" s="67"/>
      <c r="BC63" s="67"/>
      <c r="BD63" s="67"/>
    </row>
    <row r="64" spans="1:56" s="340" customFormat="1" x14ac:dyDescent="0.2">
      <c r="A64" s="551"/>
      <c r="B64" s="551"/>
      <c r="C64" s="516"/>
      <c r="D64" s="273"/>
      <c r="E64" s="94"/>
      <c r="F64" s="97"/>
      <c r="G64" s="55"/>
      <c r="H64" s="131"/>
      <c r="I64" s="97"/>
      <c r="J64" s="550"/>
      <c r="K64" s="130"/>
      <c r="L64" s="550"/>
      <c r="M64" s="130"/>
      <c r="N64" s="550"/>
      <c r="O64" s="130"/>
      <c r="P64" s="550"/>
      <c r="Q64" s="130"/>
      <c r="R64" s="550"/>
      <c r="S64" s="130"/>
      <c r="T64" s="550"/>
      <c r="U64" s="130"/>
      <c r="V64" s="550"/>
      <c r="W64" s="130"/>
      <c r="X64" s="550"/>
      <c r="Z64" s="94">
        <f t="shared" si="7"/>
        <v>0</v>
      </c>
      <c r="AC64" s="97"/>
      <c r="AE64" s="112"/>
      <c r="AG64" s="550"/>
      <c r="AH64" s="130"/>
      <c r="AI64" s="550"/>
      <c r="AJ64" s="130"/>
      <c r="AK64" s="550"/>
      <c r="AL64" s="130"/>
      <c r="AM64" s="550"/>
      <c r="AN64" s="130"/>
      <c r="AO64" s="550"/>
      <c r="AP64" s="130"/>
      <c r="AQ64" s="550"/>
      <c r="AR64" s="130"/>
      <c r="AS64" s="550"/>
      <c r="AT64" s="130"/>
      <c r="AU64" s="550"/>
      <c r="AV64" s="130"/>
      <c r="AW64" s="550"/>
      <c r="AX64" s="130"/>
      <c r="AY64" s="550"/>
      <c r="BA64" s="82">
        <f t="shared" si="19"/>
        <v>0</v>
      </c>
      <c r="BB64" s="67"/>
      <c r="BC64" s="67"/>
      <c r="BD64" s="67"/>
    </row>
    <row r="65" spans="1:56" s="340" customFormat="1" x14ac:dyDescent="0.2">
      <c r="A65" s="551"/>
      <c r="B65" s="551"/>
      <c r="C65" s="516"/>
      <c r="D65" s="273"/>
      <c r="E65" s="94"/>
      <c r="F65" s="97" t="s">
        <v>44</v>
      </c>
      <c r="G65" s="55"/>
      <c r="H65" s="131"/>
      <c r="I65" s="97"/>
      <c r="J65" s="553">
        <f>J54+J63</f>
        <v>11955585.687228467</v>
      </c>
      <c r="K65" s="130"/>
      <c r="L65" s="553">
        <f>L54+L63</f>
        <v>5851133.2366919369</v>
      </c>
      <c r="M65" s="130"/>
      <c r="N65" s="553">
        <f>N54+N63</f>
        <v>3869631.1708481545</v>
      </c>
      <c r="O65" s="130"/>
      <c r="P65" s="553">
        <f>P54+P63</f>
        <v>603833.10498081509</v>
      </c>
      <c r="Q65" s="130"/>
      <c r="R65" s="553">
        <f>R54+R63</f>
        <v>1152258.7894470538</v>
      </c>
      <c r="S65" s="130"/>
      <c r="T65" s="553">
        <f>T54+T63</f>
        <v>417026.67696702952</v>
      </c>
      <c r="U65" s="130"/>
      <c r="V65" s="553">
        <f>V54+V63</f>
        <v>30505.750446376951</v>
      </c>
      <c r="W65" s="130"/>
      <c r="X65" s="553">
        <f>X54+X63</f>
        <v>31196.957847097394</v>
      </c>
      <c r="Z65" s="94">
        <f t="shared" si="7"/>
        <v>0</v>
      </c>
      <c r="AC65" s="97" t="s">
        <v>44</v>
      </c>
      <c r="AE65" s="112"/>
      <c r="AG65" s="553">
        <f>+AG63+AG54</f>
        <v>11955585.687228467</v>
      </c>
      <c r="AH65" s="130"/>
      <c r="AI65" s="553">
        <f>+AI63+AI54</f>
        <v>9732233.8728766777</v>
      </c>
      <c r="AJ65" s="130"/>
      <c r="AK65" s="553">
        <f>+AK63+AK54</f>
        <v>2161649.1060583168</v>
      </c>
      <c r="AL65" s="130"/>
      <c r="AM65" s="553">
        <f>+AM63+AM54</f>
        <v>0</v>
      </c>
      <c r="AN65" s="130"/>
      <c r="AO65" s="553">
        <f>+AO63+AO54</f>
        <v>0</v>
      </c>
      <c r="AP65" s="130"/>
      <c r="AQ65" s="553">
        <f>+AQ63+AQ54</f>
        <v>0</v>
      </c>
      <c r="AR65" s="130"/>
      <c r="AS65" s="553">
        <f>+AS63+AS54</f>
        <v>0</v>
      </c>
      <c r="AT65" s="130"/>
      <c r="AU65" s="553">
        <f>+AU63+AU54</f>
        <v>0</v>
      </c>
      <c r="AV65" s="130"/>
      <c r="AW65" s="553">
        <f t="shared" ref="AW65" si="57">+AW63+AW54</f>
        <v>30505.750446376951</v>
      </c>
      <c r="AX65" s="130"/>
      <c r="AY65" s="553">
        <f t="shared" ref="AY65" si="58">+AY63+AY54</f>
        <v>31196.957847097394</v>
      </c>
      <c r="BA65" s="82">
        <f t="shared" ref="BA65:BA127" si="59">SUM(AI65:AY65)-AG65</f>
        <v>0</v>
      </c>
      <c r="BB65" s="67"/>
      <c r="BC65" s="67"/>
      <c r="BD65" s="67"/>
    </row>
    <row r="66" spans="1:56" s="340" customFormat="1" x14ac:dyDescent="0.2">
      <c r="A66" s="551"/>
      <c r="B66" s="551"/>
      <c r="C66" s="516"/>
      <c r="D66" s="273"/>
      <c r="E66" s="94"/>
      <c r="F66" s="219" t="s">
        <v>83</v>
      </c>
      <c r="G66" s="55"/>
      <c r="H66" s="131"/>
      <c r="I66" s="97"/>
      <c r="J66" s="550"/>
      <c r="K66" s="267"/>
      <c r="L66" s="267"/>
      <c r="M66" s="265"/>
      <c r="N66" s="267"/>
      <c r="O66" s="265"/>
      <c r="P66" s="267"/>
      <c r="Q66" s="265"/>
      <c r="R66" s="267"/>
      <c r="S66" s="265"/>
      <c r="T66" s="267"/>
      <c r="U66" s="265"/>
      <c r="V66" s="267"/>
      <c r="W66" s="265"/>
      <c r="X66" s="267"/>
      <c r="Z66" s="94">
        <f t="shared" si="7"/>
        <v>0</v>
      </c>
      <c r="AC66" s="97" t="s">
        <v>83</v>
      </c>
      <c r="AE66" s="112"/>
      <c r="AG66" s="550"/>
      <c r="AH66" s="267"/>
      <c r="AI66" s="267"/>
      <c r="AJ66" s="265"/>
      <c r="AK66" s="267"/>
      <c r="AL66" s="265"/>
      <c r="AM66" s="267"/>
      <c r="AN66" s="265"/>
      <c r="AO66" s="267"/>
      <c r="AP66" s="265"/>
      <c r="AQ66" s="267"/>
      <c r="AR66" s="265"/>
      <c r="AS66" s="267"/>
      <c r="AT66" s="265"/>
      <c r="AU66" s="267"/>
      <c r="AV66" s="267"/>
      <c r="AW66" s="267"/>
      <c r="AX66" s="267"/>
      <c r="AY66" s="267"/>
      <c r="BA66" s="82">
        <f t="shared" si="59"/>
        <v>0</v>
      </c>
      <c r="BB66" s="67"/>
      <c r="BC66" s="67"/>
      <c r="BD66" s="67"/>
    </row>
    <row r="67" spans="1:56" s="340" customFormat="1" x14ac:dyDescent="0.2">
      <c r="A67" s="551"/>
      <c r="B67" s="551"/>
      <c r="C67" s="516"/>
      <c r="D67" s="273"/>
      <c r="E67" s="94"/>
      <c r="F67" s="97" t="s">
        <v>39</v>
      </c>
      <c r="G67" s="55"/>
      <c r="H67" s="131"/>
      <c r="I67" s="97"/>
      <c r="J67" s="550"/>
      <c r="K67" s="267"/>
      <c r="L67" s="267"/>
      <c r="M67" s="265"/>
      <c r="N67" s="267"/>
      <c r="O67" s="265"/>
      <c r="P67" s="267"/>
      <c r="Q67" s="265"/>
      <c r="R67" s="267"/>
      <c r="S67" s="265"/>
      <c r="T67" s="267"/>
      <c r="U67" s="265"/>
      <c r="V67" s="267"/>
      <c r="W67" s="265"/>
      <c r="X67" s="267"/>
      <c r="Z67" s="94">
        <f t="shared" si="7"/>
        <v>0</v>
      </c>
      <c r="AC67" s="97" t="s">
        <v>39</v>
      </c>
      <c r="AE67" s="112"/>
      <c r="AG67" s="550"/>
      <c r="AH67" s="267"/>
      <c r="AI67" s="267"/>
      <c r="AJ67" s="265"/>
      <c r="AK67" s="267"/>
      <c r="AL67" s="265"/>
      <c r="AM67" s="267"/>
      <c r="AN67" s="265"/>
      <c r="AO67" s="267"/>
      <c r="AP67" s="265"/>
      <c r="AQ67" s="267"/>
      <c r="AR67" s="265"/>
      <c r="AS67" s="267"/>
      <c r="AT67" s="265"/>
      <c r="AU67" s="267"/>
      <c r="AV67" s="267"/>
      <c r="AW67" s="267"/>
      <c r="AX67" s="267"/>
      <c r="AY67" s="267"/>
      <c r="BA67" s="82">
        <f t="shared" si="59"/>
        <v>0</v>
      </c>
      <c r="BB67" s="67"/>
      <c r="BC67" s="67"/>
      <c r="BD67" s="67"/>
    </row>
    <row r="68" spans="1:56" s="340" customFormat="1" ht="4.1500000000000004" customHeight="1" x14ac:dyDescent="0.2">
      <c r="A68" s="551"/>
      <c r="B68" s="551"/>
      <c r="C68" s="516"/>
      <c r="D68" s="273"/>
      <c r="E68" s="94"/>
      <c r="G68" s="55"/>
      <c r="H68" s="131"/>
      <c r="I68" s="97"/>
      <c r="J68" s="550"/>
      <c r="K68" s="267"/>
      <c r="L68" s="267"/>
      <c r="M68" s="267"/>
      <c r="N68" s="267"/>
      <c r="O68" s="267"/>
      <c r="P68" s="267"/>
      <c r="Q68" s="267"/>
      <c r="R68" s="267"/>
      <c r="S68" s="267"/>
      <c r="T68" s="267"/>
      <c r="U68" s="267"/>
      <c r="V68" s="267"/>
      <c r="W68" s="267"/>
      <c r="X68" s="267"/>
      <c r="Z68" s="94">
        <f t="shared" si="7"/>
        <v>0</v>
      </c>
      <c r="AG68" s="550"/>
      <c r="AH68" s="267"/>
      <c r="AI68" s="267"/>
      <c r="AJ68" s="267"/>
      <c r="AK68" s="267"/>
      <c r="AL68" s="267"/>
      <c r="AM68" s="267"/>
      <c r="AN68" s="267"/>
      <c r="AO68" s="267"/>
      <c r="AP68" s="267"/>
      <c r="AQ68" s="267"/>
      <c r="AR68" s="267"/>
      <c r="AS68" s="267"/>
      <c r="AT68" s="267"/>
      <c r="AU68" s="267"/>
      <c r="AV68" s="267"/>
      <c r="AW68" s="267"/>
      <c r="AX68" s="267"/>
      <c r="AY68" s="267"/>
      <c r="BA68" s="82">
        <f t="shared" si="59"/>
        <v>0</v>
      </c>
      <c r="BB68" s="67"/>
      <c r="BC68" s="67"/>
      <c r="BD68" s="67"/>
    </row>
    <row r="69" spans="1:56" s="340" customFormat="1" x14ac:dyDescent="0.2">
      <c r="A69" s="551"/>
      <c r="B69" s="551"/>
      <c r="C69" s="516"/>
      <c r="D69" s="273">
        <v>601.5</v>
      </c>
      <c r="E69" s="94"/>
      <c r="F69" s="97" t="s">
        <v>422</v>
      </c>
      <c r="G69" s="55"/>
      <c r="H69" s="131">
        <v>11</v>
      </c>
      <c r="I69" s="97"/>
      <c r="J69" s="550">
        <v>92966.967548473389</v>
      </c>
      <c r="K69" s="267"/>
      <c r="L69" s="130">
        <f t="shared" ref="L69:L84" si="60">(VLOOKUP($H69,Factors,L$378))*$J69</f>
        <v>74345.683948514168</v>
      </c>
      <c r="M69" s="94"/>
      <c r="N69" s="130">
        <f t="shared" ref="N69:N84" si="61">(VLOOKUP($H69,Factors,N$378))*$J69</f>
        <v>13340.759843205929</v>
      </c>
      <c r="O69" s="94"/>
      <c r="P69" s="130">
        <f t="shared" ref="P69:P84" si="62">(VLOOKUP($H69,Factors,P$378))*$J69</f>
        <v>427.64805072297759</v>
      </c>
      <c r="Q69" s="94"/>
      <c r="R69" s="130">
        <f t="shared" ref="R69:R84" si="63">(VLOOKUP($H69,Factors,R$378))*$J69</f>
        <v>2649.5585751314916</v>
      </c>
      <c r="S69" s="94"/>
      <c r="T69" s="130">
        <f t="shared" ref="T69:T84" si="64">(VLOOKUP($H69,Factors,T$378))*$J69</f>
        <v>204.52732860664148</v>
      </c>
      <c r="U69" s="94"/>
      <c r="V69" s="130">
        <f t="shared" ref="V69:V84" si="65">(VLOOKUP($H69,Factors,V$378))*$J69</f>
        <v>1515.3615710401161</v>
      </c>
      <c r="W69" s="94"/>
      <c r="X69" s="130">
        <f t="shared" ref="X69:X84" si="66">(VLOOKUP($H69,Factors,X$378))*$J69</f>
        <v>483.42823125206161</v>
      </c>
      <c r="Y69" s="94"/>
      <c r="Z69" s="94">
        <f t="shared" si="7"/>
        <v>0</v>
      </c>
      <c r="AC69" s="97" t="s">
        <v>422</v>
      </c>
      <c r="AE69" s="112">
        <f>+H69</f>
        <v>11</v>
      </c>
      <c r="AG69" s="550">
        <f>+J69</f>
        <v>92966.967548473389</v>
      </c>
      <c r="AH69" s="267"/>
      <c r="AI69" s="130">
        <f t="shared" ref="AI69:AI84" si="67">(VLOOKUP($AE69,func,AI$378))*$AG69</f>
        <v>3142.2835031384011</v>
      </c>
      <c r="AJ69" s="94"/>
      <c r="AK69" s="130">
        <f t="shared" ref="AK69:AK84" si="68">(VLOOKUP($AE69,func,AK$378))*$AG69</f>
        <v>706.54895336839775</v>
      </c>
      <c r="AL69" s="94"/>
      <c r="AM69" s="130">
        <f t="shared" ref="AM69:AM84" si="69">(VLOOKUP($AE69,func,AM$378))*$AG69</f>
        <v>3300.327347970805</v>
      </c>
      <c r="AN69" s="94"/>
      <c r="AO69" s="130">
        <f t="shared" ref="AO69:AO84" si="70">(VLOOKUP($AE69,func,AO$378))*$AG69</f>
        <v>83819.017941703598</v>
      </c>
      <c r="AP69" s="94"/>
      <c r="AQ69" s="130">
        <f t="shared" ref="AQ69:AQ84" si="71">(VLOOKUP($AE69,func,AQ$378))*$AG69</f>
        <v>0</v>
      </c>
      <c r="AR69" s="94"/>
      <c r="AS69" s="130">
        <f t="shared" ref="AS69:AS84" si="72">(VLOOKUP($AE69,func,AS$378))*$AG69</f>
        <v>0</v>
      </c>
      <c r="AT69" s="94"/>
      <c r="AU69" s="130">
        <f t="shared" ref="AU69:AU84" si="73">(VLOOKUP($AE69,func,AU$378))*$AG69</f>
        <v>0</v>
      </c>
      <c r="AV69" s="130"/>
      <c r="AW69" s="130">
        <f t="shared" ref="AW69:AW84" si="74">(VLOOKUP($AE69,func,AW$378))*$AG69</f>
        <v>1515.3615710401161</v>
      </c>
      <c r="AX69" s="130"/>
      <c r="AY69" s="130">
        <f t="shared" ref="AY69:AY84" si="75">(VLOOKUP($AE69,func,AY$378))*$AG69</f>
        <v>483.42823125206161</v>
      </c>
      <c r="BA69" s="82">
        <f t="shared" si="59"/>
        <v>0</v>
      </c>
      <c r="BB69" s="67"/>
      <c r="BC69" s="67"/>
      <c r="BD69" s="67"/>
    </row>
    <row r="70" spans="1:56" s="340" customFormat="1" x14ac:dyDescent="0.2">
      <c r="A70" s="551"/>
      <c r="B70" s="551"/>
      <c r="C70" s="516"/>
      <c r="D70" s="273">
        <v>601.5</v>
      </c>
      <c r="E70" s="94"/>
      <c r="F70" s="97" t="s">
        <v>530</v>
      </c>
      <c r="G70" s="55"/>
      <c r="H70" s="131">
        <v>11</v>
      </c>
      <c r="I70" s="97"/>
      <c r="J70" s="550">
        <v>372981.06495557411</v>
      </c>
      <c r="K70" s="267"/>
      <c r="L70" s="130">
        <f t="shared" si="60"/>
        <v>298272.9576449726</v>
      </c>
      <c r="M70" s="94"/>
      <c r="N70" s="130">
        <f t="shared" si="61"/>
        <v>53522.782821124878</v>
      </c>
      <c r="O70" s="94"/>
      <c r="P70" s="130">
        <f t="shared" si="62"/>
        <v>1715.712898795641</v>
      </c>
      <c r="Q70" s="94"/>
      <c r="R70" s="130">
        <f t="shared" si="63"/>
        <v>10629.960351233862</v>
      </c>
      <c r="S70" s="94"/>
      <c r="T70" s="130">
        <f t="shared" si="64"/>
        <v>820.55834290226312</v>
      </c>
      <c r="U70" s="94"/>
      <c r="V70" s="130">
        <f t="shared" si="65"/>
        <v>6079.5913587758578</v>
      </c>
      <c r="W70" s="94"/>
      <c r="X70" s="130">
        <f t="shared" si="66"/>
        <v>1939.5015377689854</v>
      </c>
      <c r="Y70" s="94"/>
      <c r="Z70" s="94">
        <f t="shared" si="7"/>
        <v>0</v>
      </c>
      <c r="AC70" s="97" t="s">
        <v>530</v>
      </c>
      <c r="AE70" s="112">
        <f t="shared" ref="AE70:AE84" si="76">+H70</f>
        <v>11</v>
      </c>
      <c r="AG70" s="550">
        <f t="shared" ref="AG70:AG84" si="77">+J70</f>
        <v>372981.06495557411</v>
      </c>
      <c r="AH70" s="267"/>
      <c r="AI70" s="130">
        <f t="shared" si="67"/>
        <v>12606.759995498407</v>
      </c>
      <c r="AJ70" s="94"/>
      <c r="AK70" s="130">
        <f t="shared" si="68"/>
        <v>2834.6560936623632</v>
      </c>
      <c r="AL70" s="94"/>
      <c r="AM70" s="130">
        <f t="shared" si="69"/>
        <v>13240.82780592288</v>
      </c>
      <c r="AN70" s="94"/>
      <c r="AO70" s="130">
        <f t="shared" si="70"/>
        <v>336279.72816394561</v>
      </c>
      <c r="AP70" s="94"/>
      <c r="AQ70" s="130">
        <f t="shared" si="71"/>
        <v>0</v>
      </c>
      <c r="AR70" s="94"/>
      <c r="AS70" s="130">
        <f t="shared" si="72"/>
        <v>0</v>
      </c>
      <c r="AT70" s="94"/>
      <c r="AU70" s="130">
        <f t="shared" si="73"/>
        <v>0</v>
      </c>
      <c r="AV70" s="130"/>
      <c r="AW70" s="130">
        <f t="shared" si="74"/>
        <v>6079.5913587758578</v>
      </c>
      <c r="AX70" s="130"/>
      <c r="AY70" s="130">
        <f t="shared" si="75"/>
        <v>1939.5015377689854</v>
      </c>
      <c r="BA70" s="82">
        <f t="shared" si="59"/>
        <v>0</v>
      </c>
      <c r="BB70" s="67"/>
      <c r="BC70" s="67"/>
      <c r="BD70" s="67"/>
    </row>
    <row r="71" spans="1:56" s="340" customFormat="1" x14ac:dyDescent="0.2">
      <c r="A71" s="551"/>
      <c r="B71" s="551"/>
      <c r="C71" s="516"/>
      <c r="D71" s="273">
        <v>615.5</v>
      </c>
      <c r="E71" s="94"/>
      <c r="F71" s="97" t="s">
        <v>418</v>
      </c>
      <c r="G71" s="55"/>
      <c r="H71" s="131">
        <v>11</v>
      </c>
      <c r="I71" s="97"/>
      <c r="J71" s="550">
        <v>18062.79</v>
      </c>
      <c r="K71" s="267"/>
      <c r="L71" s="130">
        <f t="shared" si="60"/>
        <v>14444.813163000001</v>
      </c>
      <c r="M71" s="94"/>
      <c r="N71" s="130">
        <f t="shared" si="61"/>
        <v>2592.0103650000001</v>
      </c>
      <c r="O71" s="94"/>
      <c r="P71" s="130">
        <f t="shared" si="62"/>
        <v>83.088834000000006</v>
      </c>
      <c r="Q71" s="94"/>
      <c r="R71" s="130">
        <f t="shared" si="63"/>
        <v>514.78951500000005</v>
      </c>
      <c r="S71" s="94"/>
      <c r="T71" s="130">
        <f t="shared" si="64"/>
        <v>39.738138000000006</v>
      </c>
      <c r="U71" s="94"/>
      <c r="V71" s="130">
        <f t="shared" si="65"/>
        <v>294.42347699999999</v>
      </c>
      <c r="W71" s="94"/>
      <c r="X71" s="130">
        <f t="shared" si="66"/>
        <v>93.926507999999998</v>
      </c>
      <c r="Y71" s="94"/>
      <c r="Z71" s="94">
        <f t="shared" si="7"/>
        <v>0</v>
      </c>
      <c r="AC71" s="97" t="s">
        <v>418</v>
      </c>
      <c r="AE71" s="112">
        <f t="shared" si="76"/>
        <v>11</v>
      </c>
      <c r="AG71" s="550">
        <f t="shared" si="77"/>
        <v>18062.79</v>
      </c>
      <c r="AH71" s="267"/>
      <c r="AI71" s="130">
        <f t="shared" si="67"/>
        <v>610.52230200000008</v>
      </c>
      <c r="AJ71" s="94"/>
      <c r="AK71" s="130">
        <f t="shared" si="68"/>
        <v>137.27720400000001</v>
      </c>
      <c r="AL71" s="94"/>
      <c r="AM71" s="130">
        <f t="shared" si="69"/>
        <v>641.22904499999993</v>
      </c>
      <c r="AN71" s="94"/>
      <c r="AO71" s="130">
        <f t="shared" si="70"/>
        <v>16285.411464000001</v>
      </c>
      <c r="AP71" s="94"/>
      <c r="AQ71" s="130">
        <f t="shared" si="71"/>
        <v>0</v>
      </c>
      <c r="AR71" s="94"/>
      <c r="AS71" s="130">
        <f t="shared" si="72"/>
        <v>0</v>
      </c>
      <c r="AT71" s="94"/>
      <c r="AU71" s="130">
        <f t="shared" si="73"/>
        <v>0</v>
      </c>
      <c r="AV71" s="130"/>
      <c r="AW71" s="130">
        <f t="shared" si="74"/>
        <v>294.42347699999999</v>
      </c>
      <c r="AX71" s="130"/>
      <c r="AY71" s="130">
        <f t="shared" si="75"/>
        <v>93.926507999999998</v>
      </c>
      <c r="BA71" s="82">
        <f t="shared" si="59"/>
        <v>0</v>
      </c>
      <c r="BB71" s="67"/>
      <c r="BC71" s="67"/>
      <c r="BD71" s="67"/>
    </row>
    <row r="72" spans="1:56" s="340" customFormat="1" x14ac:dyDescent="0.2">
      <c r="A72" s="551"/>
      <c r="B72" s="551"/>
      <c r="C72" s="516"/>
      <c r="D72" s="273">
        <v>601.5</v>
      </c>
      <c r="E72" s="94"/>
      <c r="F72" s="97" t="s">
        <v>532</v>
      </c>
      <c r="G72" s="55"/>
      <c r="H72" s="131">
        <v>7</v>
      </c>
      <c r="I72" s="97"/>
      <c r="J72" s="550">
        <v>131473.62417179675</v>
      </c>
      <c r="K72" s="267"/>
      <c r="L72" s="130">
        <f t="shared" si="60"/>
        <v>62791.802904450131</v>
      </c>
      <c r="M72" s="94"/>
      <c r="N72" s="130">
        <f t="shared" si="61"/>
        <v>40822.560305342893</v>
      </c>
      <c r="O72" s="94"/>
      <c r="P72" s="130">
        <f t="shared" si="62"/>
        <v>1603.9782148959205</v>
      </c>
      <c r="Q72" s="94"/>
      <c r="R72" s="130">
        <f t="shared" si="63"/>
        <v>10018.290161890913</v>
      </c>
      <c r="S72" s="94"/>
      <c r="T72" s="130">
        <f t="shared" si="64"/>
        <v>880.87328195103828</v>
      </c>
      <c r="U72" s="94"/>
      <c r="V72" s="130">
        <f t="shared" si="65"/>
        <v>7428.2597657065162</v>
      </c>
      <c r="W72" s="94"/>
      <c r="X72" s="130">
        <f t="shared" si="66"/>
        <v>7927.8595375593432</v>
      </c>
      <c r="Y72" s="94"/>
      <c r="Z72" s="94">
        <f t="shared" si="7"/>
        <v>0</v>
      </c>
      <c r="AC72" s="97" t="s">
        <v>532</v>
      </c>
      <c r="AE72" s="112">
        <f t="shared" si="76"/>
        <v>7</v>
      </c>
      <c r="AG72" s="550">
        <f t="shared" si="77"/>
        <v>131473.62417179675</v>
      </c>
      <c r="AH72" s="267"/>
      <c r="AI72" s="130">
        <f t="shared" si="67"/>
        <v>50867.145192068165</v>
      </c>
      <c r="AJ72" s="94"/>
      <c r="AK72" s="130">
        <f t="shared" si="68"/>
        <v>11530.236839866575</v>
      </c>
      <c r="AL72" s="94"/>
      <c r="AM72" s="130">
        <f t="shared" si="69"/>
        <v>53720.122836596158</v>
      </c>
      <c r="AN72" s="94"/>
      <c r="AO72" s="130">
        <f t="shared" si="70"/>
        <v>0</v>
      </c>
      <c r="AP72" s="94"/>
      <c r="AQ72" s="130">
        <f t="shared" si="71"/>
        <v>0</v>
      </c>
      <c r="AR72" s="94"/>
      <c r="AS72" s="130">
        <f t="shared" si="72"/>
        <v>0</v>
      </c>
      <c r="AT72" s="94"/>
      <c r="AU72" s="130">
        <f t="shared" si="73"/>
        <v>0</v>
      </c>
      <c r="AV72" s="130"/>
      <c r="AW72" s="130">
        <f t="shared" si="74"/>
        <v>7428.2597657065162</v>
      </c>
      <c r="AX72" s="130"/>
      <c r="AY72" s="130">
        <f t="shared" si="75"/>
        <v>7927.8595375593432</v>
      </c>
      <c r="BA72" s="82">
        <f t="shared" si="59"/>
        <v>0</v>
      </c>
      <c r="BB72" s="67"/>
      <c r="BC72" s="67"/>
      <c r="BD72" s="67"/>
    </row>
    <row r="73" spans="1:56" s="340" customFormat="1" x14ac:dyDescent="0.2">
      <c r="A73" s="551"/>
      <c r="B73" s="551"/>
      <c r="C73" s="516"/>
      <c r="D73" s="273">
        <v>601.5</v>
      </c>
      <c r="E73" s="94"/>
      <c r="F73" s="97" t="s">
        <v>533</v>
      </c>
      <c r="G73" s="55"/>
      <c r="H73" s="131">
        <v>9</v>
      </c>
      <c r="I73" s="97"/>
      <c r="J73" s="550">
        <v>1380084.4460567986</v>
      </c>
      <c r="K73" s="267"/>
      <c r="L73" s="130">
        <f t="shared" si="60"/>
        <v>1145746.1071163542</v>
      </c>
      <c r="M73" s="94"/>
      <c r="N73" s="130">
        <f t="shared" si="61"/>
        <v>176098.77531684749</v>
      </c>
      <c r="O73" s="94"/>
      <c r="P73" s="130">
        <f t="shared" si="62"/>
        <v>5382.329339621514</v>
      </c>
      <c r="Q73" s="94"/>
      <c r="R73" s="130">
        <f t="shared" si="63"/>
        <v>33122.026705363169</v>
      </c>
      <c r="S73" s="94"/>
      <c r="T73" s="130">
        <f t="shared" si="64"/>
        <v>2484.1520029022372</v>
      </c>
      <c r="U73" s="94"/>
      <c r="V73" s="130">
        <f t="shared" si="65"/>
        <v>17251.055575709983</v>
      </c>
      <c r="W73" s="94"/>
      <c r="X73" s="130">
        <f t="shared" si="66"/>
        <v>0</v>
      </c>
      <c r="Y73" s="94"/>
      <c r="Z73" s="94">
        <f t="shared" si="7"/>
        <v>0</v>
      </c>
      <c r="AC73" s="97" t="s">
        <v>533</v>
      </c>
      <c r="AE73" s="112">
        <f t="shared" si="76"/>
        <v>9</v>
      </c>
      <c r="AG73" s="550">
        <f t="shared" si="77"/>
        <v>1380084.4460567986</v>
      </c>
      <c r="AH73" s="267"/>
      <c r="AI73" s="130">
        <f t="shared" si="67"/>
        <v>0</v>
      </c>
      <c r="AJ73" s="94"/>
      <c r="AK73" s="130">
        <f t="shared" si="68"/>
        <v>0</v>
      </c>
      <c r="AL73" s="94"/>
      <c r="AM73" s="130">
        <f t="shared" si="69"/>
        <v>0</v>
      </c>
      <c r="AN73" s="94"/>
      <c r="AO73" s="130">
        <f t="shared" si="70"/>
        <v>1362833.3904810885</v>
      </c>
      <c r="AP73" s="94"/>
      <c r="AQ73" s="130">
        <f t="shared" si="71"/>
        <v>0</v>
      </c>
      <c r="AR73" s="94"/>
      <c r="AS73" s="130">
        <f t="shared" si="72"/>
        <v>0</v>
      </c>
      <c r="AT73" s="94"/>
      <c r="AU73" s="130">
        <f t="shared" si="73"/>
        <v>0</v>
      </c>
      <c r="AV73" s="130"/>
      <c r="AW73" s="130">
        <f t="shared" si="74"/>
        <v>17251.055575709983</v>
      </c>
      <c r="AX73" s="130"/>
      <c r="AY73" s="130">
        <f t="shared" si="75"/>
        <v>0</v>
      </c>
      <c r="BA73" s="82">
        <f t="shared" si="59"/>
        <v>0</v>
      </c>
      <c r="BB73" s="67"/>
      <c r="BC73" s="67"/>
      <c r="BD73" s="67"/>
    </row>
    <row r="74" spans="1:56" s="340" customFormat="1" x14ac:dyDescent="0.2">
      <c r="A74" s="551"/>
      <c r="B74" s="551"/>
      <c r="C74" s="516"/>
      <c r="D74" s="273">
        <v>601.5</v>
      </c>
      <c r="E74" s="94"/>
      <c r="F74" s="97" t="s">
        <v>534</v>
      </c>
      <c r="G74" s="55"/>
      <c r="H74" s="131">
        <v>10</v>
      </c>
      <c r="I74" s="97"/>
      <c r="J74" s="550">
        <v>0</v>
      </c>
      <c r="K74" s="267"/>
      <c r="L74" s="130">
        <f t="shared" si="60"/>
        <v>0</v>
      </c>
      <c r="M74" s="94"/>
      <c r="N74" s="130">
        <f t="shared" si="61"/>
        <v>0</v>
      </c>
      <c r="O74" s="94"/>
      <c r="P74" s="130">
        <f t="shared" si="62"/>
        <v>0</v>
      </c>
      <c r="Q74" s="94"/>
      <c r="R74" s="130">
        <f t="shared" si="63"/>
        <v>0</v>
      </c>
      <c r="S74" s="94"/>
      <c r="T74" s="130">
        <f t="shared" si="64"/>
        <v>0</v>
      </c>
      <c r="U74" s="94"/>
      <c r="V74" s="130">
        <f t="shared" si="65"/>
        <v>0</v>
      </c>
      <c r="W74" s="94"/>
      <c r="X74" s="130">
        <f t="shared" si="66"/>
        <v>0</v>
      </c>
      <c r="Y74" s="94"/>
      <c r="Z74" s="94">
        <f t="shared" si="7"/>
        <v>0</v>
      </c>
      <c r="AC74" s="97" t="s">
        <v>534</v>
      </c>
      <c r="AE74" s="112">
        <f t="shared" si="76"/>
        <v>10</v>
      </c>
      <c r="AG74" s="550">
        <f t="shared" si="77"/>
        <v>0</v>
      </c>
      <c r="AH74" s="267"/>
      <c r="AI74" s="130">
        <f t="shared" si="67"/>
        <v>0</v>
      </c>
      <c r="AJ74" s="94"/>
      <c r="AK74" s="130">
        <f t="shared" si="68"/>
        <v>0</v>
      </c>
      <c r="AL74" s="94"/>
      <c r="AM74" s="130">
        <f t="shared" si="69"/>
        <v>0</v>
      </c>
      <c r="AN74" s="94"/>
      <c r="AO74" s="130">
        <f t="shared" si="70"/>
        <v>0</v>
      </c>
      <c r="AP74" s="94"/>
      <c r="AQ74" s="130">
        <f t="shared" si="71"/>
        <v>0</v>
      </c>
      <c r="AR74" s="94"/>
      <c r="AS74" s="130">
        <f t="shared" si="72"/>
        <v>0</v>
      </c>
      <c r="AT74" s="94"/>
      <c r="AU74" s="130">
        <f t="shared" si="73"/>
        <v>0</v>
      </c>
      <c r="AV74" s="130"/>
      <c r="AW74" s="130">
        <f t="shared" si="74"/>
        <v>0</v>
      </c>
      <c r="AX74" s="130"/>
      <c r="AY74" s="130">
        <f t="shared" si="75"/>
        <v>0</v>
      </c>
      <c r="BA74" s="82">
        <f t="shared" si="59"/>
        <v>0</v>
      </c>
      <c r="BB74" s="67"/>
      <c r="BC74" s="67"/>
      <c r="BD74" s="67"/>
    </row>
    <row r="75" spans="1:56" s="340" customFormat="1" x14ac:dyDescent="0.2">
      <c r="A75" s="551"/>
      <c r="B75" s="551"/>
      <c r="C75" s="517"/>
      <c r="D75" s="273">
        <v>620.5</v>
      </c>
      <c r="E75" s="94"/>
      <c r="F75" s="97" t="s">
        <v>481</v>
      </c>
      <c r="G75" s="55"/>
      <c r="H75" s="131">
        <v>11</v>
      </c>
      <c r="I75" s="97"/>
      <c r="J75" s="550">
        <v>126937</v>
      </c>
      <c r="K75" s="267"/>
      <c r="L75" s="130">
        <f t="shared" si="60"/>
        <v>101511.5189</v>
      </c>
      <c r="M75" s="94"/>
      <c r="N75" s="130">
        <f t="shared" si="61"/>
        <v>18215.459499999997</v>
      </c>
      <c r="O75" s="94"/>
      <c r="P75" s="130">
        <f t="shared" si="62"/>
        <v>583.91020000000003</v>
      </c>
      <c r="Q75" s="94"/>
      <c r="R75" s="130">
        <f t="shared" si="63"/>
        <v>3617.7045000000003</v>
      </c>
      <c r="S75" s="94"/>
      <c r="T75" s="130">
        <f t="shared" si="64"/>
        <v>279.26140000000004</v>
      </c>
      <c r="U75" s="94"/>
      <c r="V75" s="130">
        <f t="shared" si="65"/>
        <v>2069.0730999999996</v>
      </c>
      <c r="W75" s="94"/>
      <c r="X75" s="130">
        <f t="shared" si="66"/>
        <v>660.07240000000002</v>
      </c>
      <c r="Y75" s="94"/>
      <c r="Z75" s="94">
        <f t="shared" si="7"/>
        <v>0</v>
      </c>
      <c r="AC75" s="97" t="s">
        <v>481</v>
      </c>
      <c r="AE75" s="112">
        <f t="shared" si="76"/>
        <v>11</v>
      </c>
      <c r="AG75" s="550">
        <f t="shared" si="77"/>
        <v>126937</v>
      </c>
      <c r="AH75" s="267"/>
      <c r="AI75" s="130">
        <f t="shared" si="67"/>
        <v>4290.4706000000006</v>
      </c>
      <c r="AJ75" s="94"/>
      <c r="AK75" s="130">
        <f t="shared" si="68"/>
        <v>964.72119999999995</v>
      </c>
      <c r="AL75" s="94"/>
      <c r="AM75" s="130">
        <f t="shared" si="69"/>
        <v>4506.2635</v>
      </c>
      <c r="AN75" s="94"/>
      <c r="AO75" s="130">
        <f t="shared" si="70"/>
        <v>114446.3992</v>
      </c>
      <c r="AP75" s="94"/>
      <c r="AQ75" s="130">
        <f t="shared" si="71"/>
        <v>0</v>
      </c>
      <c r="AR75" s="94"/>
      <c r="AS75" s="130">
        <f t="shared" si="72"/>
        <v>0</v>
      </c>
      <c r="AT75" s="94"/>
      <c r="AU75" s="130">
        <f t="shared" si="73"/>
        <v>0</v>
      </c>
      <c r="AV75" s="130"/>
      <c r="AW75" s="130">
        <f t="shared" si="74"/>
        <v>2069.0730999999996</v>
      </c>
      <c r="AX75" s="130"/>
      <c r="AY75" s="130">
        <f t="shared" si="75"/>
        <v>660.07240000000002</v>
      </c>
      <c r="BA75" s="82">
        <f t="shared" si="59"/>
        <v>0</v>
      </c>
      <c r="BB75" s="67"/>
      <c r="BC75" s="67"/>
      <c r="BD75" s="67"/>
    </row>
    <row r="76" spans="1:56" s="340" customFormat="1" x14ac:dyDescent="0.2">
      <c r="A76" s="551"/>
      <c r="B76" s="551"/>
      <c r="C76" s="516"/>
      <c r="D76" s="273">
        <v>636.5</v>
      </c>
      <c r="E76" s="94"/>
      <c r="F76" s="97" t="s">
        <v>478</v>
      </c>
      <c r="G76" s="55"/>
      <c r="H76" s="131">
        <v>11</v>
      </c>
      <c r="I76" s="97"/>
      <c r="J76" s="550">
        <v>137548</v>
      </c>
      <c r="K76" s="267"/>
      <c r="L76" s="130">
        <f t="shared" si="60"/>
        <v>109997.13559999999</v>
      </c>
      <c r="M76" s="94"/>
      <c r="N76" s="130">
        <f t="shared" si="61"/>
        <v>19738.137999999999</v>
      </c>
      <c r="O76" s="94"/>
      <c r="P76" s="130">
        <f t="shared" si="62"/>
        <v>632.72079999999994</v>
      </c>
      <c r="Q76" s="94"/>
      <c r="R76" s="130">
        <f t="shared" si="63"/>
        <v>3920.1179999999999</v>
      </c>
      <c r="S76" s="94"/>
      <c r="T76" s="130">
        <f t="shared" si="64"/>
        <v>302.60560000000004</v>
      </c>
      <c r="U76" s="94"/>
      <c r="V76" s="130">
        <f t="shared" si="65"/>
        <v>2242.0323999999996</v>
      </c>
      <c r="W76" s="94"/>
      <c r="X76" s="130">
        <f t="shared" si="66"/>
        <v>715.24959999999999</v>
      </c>
      <c r="Y76" s="94"/>
      <c r="Z76" s="94">
        <f t="shared" si="7"/>
        <v>0</v>
      </c>
      <c r="AC76" s="97" t="s">
        <v>478</v>
      </c>
      <c r="AE76" s="112">
        <f t="shared" si="76"/>
        <v>11</v>
      </c>
      <c r="AG76" s="550">
        <f t="shared" si="77"/>
        <v>137548</v>
      </c>
      <c r="AH76" s="267"/>
      <c r="AI76" s="130">
        <f t="shared" si="67"/>
        <v>4649.1224000000002</v>
      </c>
      <c r="AJ76" s="94"/>
      <c r="AK76" s="130">
        <f t="shared" si="68"/>
        <v>1045.3648000000001</v>
      </c>
      <c r="AL76" s="94"/>
      <c r="AM76" s="130">
        <f t="shared" si="69"/>
        <v>4882.9539999999997</v>
      </c>
      <c r="AN76" s="94"/>
      <c r="AO76" s="130">
        <f t="shared" si="70"/>
        <v>124013.27679999999</v>
      </c>
      <c r="AP76" s="94"/>
      <c r="AQ76" s="130">
        <f t="shared" si="71"/>
        <v>0</v>
      </c>
      <c r="AR76" s="94"/>
      <c r="AS76" s="130">
        <f t="shared" si="72"/>
        <v>0</v>
      </c>
      <c r="AT76" s="94"/>
      <c r="AU76" s="130">
        <f t="shared" si="73"/>
        <v>0</v>
      </c>
      <c r="AV76" s="130"/>
      <c r="AW76" s="130">
        <f t="shared" si="74"/>
        <v>2242.0323999999996</v>
      </c>
      <c r="AX76" s="130"/>
      <c r="AY76" s="130">
        <f t="shared" si="75"/>
        <v>715.24959999999999</v>
      </c>
      <c r="BA76" s="82">
        <f t="shared" si="59"/>
        <v>0</v>
      </c>
      <c r="BB76" s="67"/>
      <c r="BC76" s="67"/>
      <c r="BD76" s="67"/>
    </row>
    <row r="77" spans="1:56" s="340" customFormat="1" x14ac:dyDescent="0.2">
      <c r="A77" s="680"/>
      <c r="B77" s="680"/>
      <c r="C77" s="516"/>
      <c r="D77" s="273">
        <v>650.5</v>
      </c>
      <c r="E77" s="94"/>
      <c r="F77" s="97" t="s">
        <v>489</v>
      </c>
      <c r="G77" s="55"/>
      <c r="H77" s="131">
        <v>11</v>
      </c>
      <c r="I77" s="97"/>
      <c r="J77" s="550">
        <v>165</v>
      </c>
      <c r="K77" s="267"/>
      <c r="L77" s="130">
        <f t="shared" si="60"/>
        <v>131.95050000000001</v>
      </c>
      <c r="M77" s="94"/>
      <c r="N77" s="130">
        <f t="shared" si="61"/>
        <v>23.677499999999998</v>
      </c>
      <c r="O77" s="94"/>
      <c r="P77" s="130">
        <f t="shared" si="62"/>
        <v>0.75900000000000001</v>
      </c>
      <c r="Q77" s="94"/>
      <c r="R77" s="130">
        <f t="shared" si="63"/>
        <v>4.7025000000000006</v>
      </c>
      <c r="S77" s="94"/>
      <c r="T77" s="130">
        <f t="shared" si="64"/>
        <v>0.36300000000000004</v>
      </c>
      <c r="U77" s="94"/>
      <c r="V77" s="130">
        <f t="shared" si="65"/>
        <v>2.6894999999999998</v>
      </c>
      <c r="W77" s="94"/>
      <c r="X77" s="130">
        <f t="shared" si="66"/>
        <v>0.85799999999999998</v>
      </c>
      <c r="Y77" s="94"/>
      <c r="Z77" s="94">
        <f t="shared" si="7"/>
        <v>0</v>
      </c>
      <c r="AC77" s="97" t="s">
        <v>489</v>
      </c>
      <c r="AE77" s="112">
        <f t="shared" si="76"/>
        <v>11</v>
      </c>
      <c r="AG77" s="550">
        <f t="shared" si="77"/>
        <v>165</v>
      </c>
      <c r="AH77" s="267"/>
      <c r="AI77" s="130">
        <f t="shared" si="67"/>
        <v>5.5770000000000008</v>
      </c>
      <c r="AJ77" s="94"/>
      <c r="AK77" s="130">
        <f t="shared" si="68"/>
        <v>1.254</v>
      </c>
      <c r="AL77" s="94"/>
      <c r="AM77" s="130">
        <f t="shared" si="69"/>
        <v>5.857499999999999</v>
      </c>
      <c r="AN77" s="94"/>
      <c r="AO77" s="130">
        <f t="shared" si="70"/>
        <v>148.76399999999998</v>
      </c>
      <c r="AP77" s="94"/>
      <c r="AQ77" s="130">
        <f t="shared" si="71"/>
        <v>0</v>
      </c>
      <c r="AR77" s="94"/>
      <c r="AS77" s="130">
        <f t="shared" si="72"/>
        <v>0</v>
      </c>
      <c r="AT77" s="94"/>
      <c r="AU77" s="130">
        <f t="shared" si="73"/>
        <v>0</v>
      </c>
      <c r="AV77" s="130"/>
      <c r="AW77" s="130">
        <f t="shared" si="74"/>
        <v>2.6894999999999998</v>
      </c>
      <c r="AX77" s="130"/>
      <c r="AY77" s="130">
        <f t="shared" si="75"/>
        <v>0.85799999999999998</v>
      </c>
      <c r="BA77" s="82">
        <f t="shared" si="59"/>
        <v>0</v>
      </c>
      <c r="BB77" s="67"/>
      <c r="BC77" s="67"/>
      <c r="BD77" s="67"/>
    </row>
    <row r="78" spans="1:56" s="340" customFormat="1" x14ac:dyDescent="0.2">
      <c r="A78" s="680"/>
      <c r="B78" s="551"/>
      <c r="C78" s="518"/>
      <c r="D78" s="273">
        <v>675.5</v>
      </c>
      <c r="E78" s="94"/>
      <c r="F78" s="97" t="s">
        <v>501</v>
      </c>
      <c r="G78" s="55"/>
      <c r="H78" s="131">
        <v>11</v>
      </c>
      <c r="I78" s="97"/>
      <c r="J78" s="550">
        <v>38788</v>
      </c>
      <c r="K78" s="267"/>
      <c r="L78" s="130">
        <f t="shared" si="60"/>
        <v>31018.763599999998</v>
      </c>
      <c r="M78" s="94"/>
      <c r="N78" s="130">
        <f t="shared" si="61"/>
        <v>5566.0779999999995</v>
      </c>
      <c r="O78" s="94"/>
      <c r="P78" s="130">
        <f t="shared" si="62"/>
        <v>178.4248</v>
      </c>
      <c r="Q78" s="94"/>
      <c r="R78" s="130">
        <f t="shared" si="63"/>
        <v>1105.4580000000001</v>
      </c>
      <c r="S78" s="94"/>
      <c r="T78" s="130">
        <f t="shared" si="64"/>
        <v>85.333600000000004</v>
      </c>
      <c r="U78" s="94"/>
      <c r="V78" s="130">
        <f t="shared" si="65"/>
        <v>632.24439999999993</v>
      </c>
      <c r="W78" s="94"/>
      <c r="X78" s="130">
        <f t="shared" si="66"/>
        <v>201.69759999999999</v>
      </c>
      <c r="Y78" s="94"/>
      <c r="Z78" s="94">
        <f t="shared" ref="Z78:Z141" si="78">SUM(L78:X78)-J78</f>
        <v>0</v>
      </c>
      <c r="AC78" s="97" t="s">
        <v>501</v>
      </c>
      <c r="AE78" s="112">
        <f t="shared" si="76"/>
        <v>11</v>
      </c>
      <c r="AG78" s="550">
        <f t="shared" si="77"/>
        <v>38788</v>
      </c>
      <c r="AH78" s="267"/>
      <c r="AI78" s="130">
        <f t="shared" si="67"/>
        <v>1311.0344000000002</v>
      </c>
      <c r="AJ78" s="94"/>
      <c r="AK78" s="130">
        <f t="shared" si="68"/>
        <v>294.78879999999998</v>
      </c>
      <c r="AL78" s="94"/>
      <c r="AM78" s="130">
        <f t="shared" si="69"/>
        <v>1376.9739999999999</v>
      </c>
      <c r="AN78" s="94"/>
      <c r="AO78" s="130">
        <f t="shared" si="70"/>
        <v>34971.260799999996</v>
      </c>
      <c r="AP78" s="94"/>
      <c r="AQ78" s="130">
        <f t="shared" si="71"/>
        <v>0</v>
      </c>
      <c r="AR78" s="94"/>
      <c r="AS78" s="130">
        <f t="shared" si="72"/>
        <v>0</v>
      </c>
      <c r="AT78" s="94"/>
      <c r="AU78" s="130">
        <f t="shared" si="73"/>
        <v>0</v>
      </c>
      <c r="AV78" s="130"/>
      <c r="AW78" s="130">
        <f t="shared" si="74"/>
        <v>632.24439999999993</v>
      </c>
      <c r="AX78" s="130"/>
      <c r="AY78" s="130">
        <f t="shared" si="75"/>
        <v>201.69759999999999</v>
      </c>
      <c r="BA78" s="82">
        <f t="shared" si="59"/>
        <v>0</v>
      </c>
      <c r="BB78" s="67"/>
      <c r="BC78" s="67"/>
      <c r="BD78" s="67"/>
    </row>
    <row r="79" spans="1:56" s="340" customFormat="1" x14ac:dyDescent="0.2">
      <c r="A79" s="680"/>
      <c r="B79" s="680"/>
      <c r="C79" s="516"/>
      <c r="D79" s="273">
        <v>675.5</v>
      </c>
      <c r="E79" s="94"/>
      <c r="F79" s="97" t="s">
        <v>484</v>
      </c>
      <c r="G79" s="55"/>
      <c r="H79" s="131">
        <v>11</v>
      </c>
      <c r="I79" s="97"/>
      <c r="J79" s="550">
        <v>154076.69351033287</v>
      </c>
      <c r="K79" s="267"/>
      <c r="L79" s="130">
        <f t="shared" si="60"/>
        <v>123215.13180021319</v>
      </c>
      <c r="M79" s="94"/>
      <c r="N79" s="130">
        <f t="shared" si="61"/>
        <v>22110.005518732767</v>
      </c>
      <c r="O79" s="94"/>
      <c r="P79" s="130">
        <f t="shared" si="62"/>
        <v>708.75279014753119</v>
      </c>
      <c r="Q79" s="94"/>
      <c r="R79" s="130">
        <f t="shared" si="63"/>
        <v>4391.1857650444872</v>
      </c>
      <c r="S79" s="94"/>
      <c r="T79" s="130">
        <f t="shared" si="64"/>
        <v>338.96872572273236</v>
      </c>
      <c r="U79" s="94"/>
      <c r="V79" s="130">
        <f t="shared" si="65"/>
        <v>2511.4501042184256</v>
      </c>
      <c r="W79" s="94"/>
      <c r="X79" s="130">
        <f t="shared" si="66"/>
        <v>801.19880625373094</v>
      </c>
      <c r="Y79" s="94"/>
      <c r="Z79" s="94">
        <f t="shared" si="78"/>
        <v>0</v>
      </c>
      <c r="AC79" s="97" t="s">
        <v>484</v>
      </c>
      <c r="AE79" s="112">
        <f t="shared" si="76"/>
        <v>11</v>
      </c>
      <c r="AG79" s="550">
        <f t="shared" si="77"/>
        <v>154076.69351033287</v>
      </c>
      <c r="AH79" s="267"/>
      <c r="AI79" s="130">
        <f t="shared" si="67"/>
        <v>5207.7922406492517</v>
      </c>
      <c r="AJ79" s="94"/>
      <c r="AK79" s="130">
        <f t="shared" si="68"/>
        <v>1170.9828706785299</v>
      </c>
      <c r="AL79" s="94"/>
      <c r="AM79" s="130">
        <f t="shared" si="69"/>
        <v>5469.7226196168167</v>
      </c>
      <c r="AN79" s="94"/>
      <c r="AO79" s="130">
        <f t="shared" si="70"/>
        <v>138915.54686891611</v>
      </c>
      <c r="AP79" s="94"/>
      <c r="AQ79" s="130">
        <f t="shared" si="71"/>
        <v>0</v>
      </c>
      <c r="AR79" s="94"/>
      <c r="AS79" s="130">
        <f t="shared" si="72"/>
        <v>0</v>
      </c>
      <c r="AT79" s="94"/>
      <c r="AU79" s="130">
        <f t="shared" si="73"/>
        <v>0</v>
      </c>
      <c r="AV79" s="130"/>
      <c r="AW79" s="130">
        <f t="shared" si="74"/>
        <v>2511.4501042184256</v>
      </c>
      <c r="AX79" s="130"/>
      <c r="AY79" s="130">
        <f t="shared" si="75"/>
        <v>801.19880625373094</v>
      </c>
      <c r="BA79" s="82">
        <f t="shared" si="59"/>
        <v>0</v>
      </c>
      <c r="BB79" s="67"/>
      <c r="BC79" s="67"/>
      <c r="BD79" s="67"/>
    </row>
    <row r="80" spans="1:56" s="340" customFormat="1" x14ac:dyDescent="0.2">
      <c r="A80" s="680"/>
      <c r="B80" s="680"/>
      <c r="C80" s="516"/>
      <c r="D80" s="273">
        <v>675.5</v>
      </c>
      <c r="E80" s="94"/>
      <c r="F80" s="97" t="s">
        <v>509</v>
      </c>
      <c r="G80" s="55"/>
      <c r="H80" s="131">
        <v>11</v>
      </c>
      <c r="I80" s="97"/>
      <c r="J80" s="550">
        <v>76593</v>
      </c>
      <c r="K80" s="267"/>
      <c r="L80" s="130">
        <f t="shared" si="60"/>
        <v>61251.422099999996</v>
      </c>
      <c r="M80" s="94"/>
      <c r="N80" s="130">
        <f t="shared" si="61"/>
        <v>10991.095499999999</v>
      </c>
      <c r="O80" s="94"/>
      <c r="P80" s="130">
        <f t="shared" si="62"/>
        <v>352.32779999999997</v>
      </c>
      <c r="Q80" s="94"/>
      <c r="R80" s="130">
        <f t="shared" si="63"/>
        <v>2182.9005000000002</v>
      </c>
      <c r="S80" s="94"/>
      <c r="T80" s="130">
        <f t="shared" si="64"/>
        <v>168.50460000000001</v>
      </c>
      <c r="U80" s="94"/>
      <c r="V80" s="130">
        <f t="shared" si="65"/>
        <v>1248.4658999999999</v>
      </c>
      <c r="W80" s="94"/>
      <c r="X80" s="130">
        <f t="shared" si="66"/>
        <v>398.28359999999998</v>
      </c>
      <c r="Y80" s="94"/>
      <c r="Z80" s="94">
        <f t="shared" si="78"/>
        <v>0</v>
      </c>
      <c r="AC80" s="97" t="s">
        <v>509</v>
      </c>
      <c r="AE80" s="112">
        <f t="shared" si="76"/>
        <v>11</v>
      </c>
      <c r="AG80" s="550">
        <f t="shared" si="77"/>
        <v>76593</v>
      </c>
      <c r="AH80" s="267"/>
      <c r="AI80" s="130">
        <f t="shared" si="67"/>
        <v>2588.8434000000002</v>
      </c>
      <c r="AJ80" s="94"/>
      <c r="AK80" s="130">
        <f t="shared" si="68"/>
        <v>582.10680000000002</v>
      </c>
      <c r="AL80" s="94"/>
      <c r="AM80" s="130">
        <f t="shared" si="69"/>
        <v>2719.0514999999996</v>
      </c>
      <c r="AN80" s="94"/>
      <c r="AO80" s="130">
        <f t="shared" si="70"/>
        <v>69056.248800000001</v>
      </c>
      <c r="AP80" s="94"/>
      <c r="AQ80" s="130">
        <f t="shared" si="71"/>
        <v>0</v>
      </c>
      <c r="AR80" s="94"/>
      <c r="AS80" s="130">
        <f t="shared" si="72"/>
        <v>0</v>
      </c>
      <c r="AT80" s="94"/>
      <c r="AU80" s="130">
        <f t="shared" si="73"/>
        <v>0</v>
      </c>
      <c r="AV80" s="130"/>
      <c r="AW80" s="130">
        <f t="shared" si="74"/>
        <v>1248.4658999999999</v>
      </c>
      <c r="AX80" s="130"/>
      <c r="AY80" s="130">
        <f t="shared" si="75"/>
        <v>398.28359999999998</v>
      </c>
      <c r="BA80" s="82">
        <f t="shared" si="59"/>
        <v>0</v>
      </c>
      <c r="BB80" s="67"/>
      <c r="BC80" s="67"/>
      <c r="BD80" s="67"/>
    </row>
    <row r="81" spans="1:56" s="340" customFormat="1" x14ac:dyDescent="0.2">
      <c r="A81" s="680"/>
      <c r="B81" s="680"/>
      <c r="C81" s="516"/>
      <c r="D81" s="273">
        <v>675.5</v>
      </c>
      <c r="E81" s="94"/>
      <c r="F81" s="97" t="s">
        <v>511</v>
      </c>
      <c r="G81" s="55"/>
      <c r="H81" s="131">
        <v>11</v>
      </c>
      <c r="I81" s="97"/>
      <c r="J81" s="550">
        <v>0</v>
      </c>
      <c r="K81" s="267"/>
      <c r="L81" s="130">
        <f t="shared" si="60"/>
        <v>0</v>
      </c>
      <c r="M81" s="94"/>
      <c r="N81" s="130">
        <f t="shared" si="61"/>
        <v>0</v>
      </c>
      <c r="O81" s="94"/>
      <c r="P81" s="130">
        <f t="shared" si="62"/>
        <v>0</v>
      </c>
      <c r="Q81" s="94"/>
      <c r="R81" s="130">
        <f t="shared" si="63"/>
        <v>0</v>
      </c>
      <c r="S81" s="94"/>
      <c r="T81" s="130">
        <f t="shared" si="64"/>
        <v>0</v>
      </c>
      <c r="U81" s="94"/>
      <c r="V81" s="130">
        <f t="shared" si="65"/>
        <v>0</v>
      </c>
      <c r="W81" s="94"/>
      <c r="X81" s="130">
        <f t="shared" si="66"/>
        <v>0</v>
      </c>
      <c r="Y81" s="94"/>
      <c r="Z81" s="94">
        <f t="shared" si="78"/>
        <v>0</v>
      </c>
      <c r="AC81" s="97" t="s">
        <v>511</v>
      </c>
      <c r="AE81" s="112">
        <f t="shared" si="76"/>
        <v>11</v>
      </c>
      <c r="AG81" s="550">
        <f t="shared" si="77"/>
        <v>0</v>
      </c>
      <c r="AH81" s="267"/>
      <c r="AI81" s="130">
        <f t="shared" si="67"/>
        <v>0</v>
      </c>
      <c r="AJ81" s="94"/>
      <c r="AK81" s="130">
        <f t="shared" si="68"/>
        <v>0</v>
      </c>
      <c r="AL81" s="94"/>
      <c r="AM81" s="130">
        <f t="shared" si="69"/>
        <v>0</v>
      </c>
      <c r="AN81" s="94"/>
      <c r="AO81" s="130">
        <f t="shared" si="70"/>
        <v>0</v>
      </c>
      <c r="AP81" s="94"/>
      <c r="AQ81" s="130">
        <f t="shared" si="71"/>
        <v>0</v>
      </c>
      <c r="AR81" s="94"/>
      <c r="AS81" s="130">
        <f t="shared" si="72"/>
        <v>0</v>
      </c>
      <c r="AT81" s="94"/>
      <c r="AU81" s="130">
        <f t="shared" si="73"/>
        <v>0</v>
      </c>
      <c r="AV81" s="130"/>
      <c r="AW81" s="130">
        <f t="shared" si="74"/>
        <v>0</v>
      </c>
      <c r="AX81" s="130"/>
      <c r="AY81" s="130">
        <f t="shared" si="75"/>
        <v>0</v>
      </c>
      <c r="BA81" s="82">
        <f t="shared" si="59"/>
        <v>0</v>
      </c>
      <c r="BB81" s="67"/>
      <c r="BC81" s="67"/>
      <c r="BD81" s="67"/>
    </row>
    <row r="82" spans="1:56" s="340" customFormat="1" x14ac:dyDescent="0.2">
      <c r="A82" s="680"/>
      <c r="B82" s="680"/>
      <c r="C82" s="516"/>
      <c r="D82" s="273">
        <v>675.5</v>
      </c>
      <c r="E82" s="94"/>
      <c r="F82" s="97" t="s">
        <v>517</v>
      </c>
      <c r="G82" s="55"/>
      <c r="H82" s="131">
        <v>11</v>
      </c>
      <c r="I82" s="97"/>
      <c r="J82" s="550">
        <v>6365</v>
      </c>
      <c r="K82" s="267"/>
      <c r="L82" s="130">
        <f t="shared" si="60"/>
        <v>5090.0904999999993</v>
      </c>
      <c r="M82" s="94"/>
      <c r="N82" s="130">
        <f t="shared" si="61"/>
        <v>913.37749999999994</v>
      </c>
      <c r="O82" s="94"/>
      <c r="P82" s="130">
        <f t="shared" si="62"/>
        <v>29.279</v>
      </c>
      <c r="Q82" s="94"/>
      <c r="R82" s="130">
        <f t="shared" si="63"/>
        <v>181.4025</v>
      </c>
      <c r="S82" s="94"/>
      <c r="T82" s="130">
        <f t="shared" si="64"/>
        <v>14.003</v>
      </c>
      <c r="U82" s="94"/>
      <c r="V82" s="130">
        <f t="shared" si="65"/>
        <v>103.7495</v>
      </c>
      <c r="W82" s="94"/>
      <c r="X82" s="130">
        <f t="shared" si="66"/>
        <v>33.097999999999999</v>
      </c>
      <c r="Y82" s="94"/>
      <c r="Z82" s="94">
        <f t="shared" si="78"/>
        <v>0</v>
      </c>
      <c r="AC82" s="97" t="s">
        <v>517</v>
      </c>
      <c r="AE82" s="112">
        <f t="shared" si="76"/>
        <v>11</v>
      </c>
      <c r="AG82" s="550">
        <f t="shared" si="77"/>
        <v>6365</v>
      </c>
      <c r="AH82" s="267"/>
      <c r="AI82" s="130">
        <f t="shared" si="67"/>
        <v>215.13700000000003</v>
      </c>
      <c r="AJ82" s="94"/>
      <c r="AK82" s="130">
        <f t="shared" si="68"/>
        <v>48.374000000000002</v>
      </c>
      <c r="AL82" s="94"/>
      <c r="AM82" s="130">
        <f t="shared" si="69"/>
        <v>225.95749999999998</v>
      </c>
      <c r="AN82" s="94"/>
      <c r="AO82" s="130">
        <f t="shared" si="70"/>
        <v>5738.6839999999993</v>
      </c>
      <c r="AP82" s="94"/>
      <c r="AQ82" s="130">
        <f t="shared" si="71"/>
        <v>0</v>
      </c>
      <c r="AR82" s="94"/>
      <c r="AS82" s="130">
        <f t="shared" si="72"/>
        <v>0</v>
      </c>
      <c r="AT82" s="94"/>
      <c r="AU82" s="130">
        <f t="shared" si="73"/>
        <v>0</v>
      </c>
      <c r="AV82" s="130"/>
      <c r="AW82" s="130">
        <f t="shared" si="74"/>
        <v>103.7495</v>
      </c>
      <c r="AX82" s="130"/>
      <c r="AY82" s="130">
        <f t="shared" si="75"/>
        <v>33.097999999999999</v>
      </c>
      <c r="BA82" s="82">
        <f t="shared" si="59"/>
        <v>0</v>
      </c>
      <c r="BB82" s="67"/>
      <c r="BC82" s="67"/>
      <c r="BD82" s="67"/>
    </row>
    <row r="83" spans="1:56" s="340" customFormat="1" x14ac:dyDescent="0.2">
      <c r="A83" s="680"/>
      <c r="B83" s="680"/>
      <c r="C83" s="516"/>
      <c r="D83" s="273">
        <v>675.5</v>
      </c>
      <c r="E83" s="94"/>
      <c r="F83" s="97" t="s">
        <v>526</v>
      </c>
      <c r="G83" s="55"/>
      <c r="H83" s="131">
        <v>11</v>
      </c>
      <c r="I83" s="97"/>
      <c r="J83" s="550">
        <v>3241</v>
      </c>
      <c r="K83" s="267"/>
      <c r="L83" s="130">
        <f t="shared" si="60"/>
        <v>2591.8276999999998</v>
      </c>
      <c r="M83" s="94"/>
      <c r="N83" s="130">
        <f t="shared" si="61"/>
        <v>465.08349999999996</v>
      </c>
      <c r="O83" s="94"/>
      <c r="P83" s="130">
        <f t="shared" si="62"/>
        <v>14.9086</v>
      </c>
      <c r="Q83" s="94"/>
      <c r="R83" s="130">
        <f t="shared" si="63"/>
        <v>92.368499999999997</v>
      </c>
      <c r="S83" s="94"/>
      <c r="T83" s="130">
        <f t="shared" si="64"/>
        <v>7.1302000000000003</v>
      </c>
      <c r="U83" s="94"/>
      <c r="V83" s="130">
        <f t="shared" si="65"/>
        <v>52.828299999999999</v>
      </c>
      <c r="W83" s="94"/>
      <c r="X83" s="130">
        <f t="shared" si="66"/>
        <v>16.853199999999998</v>
      </c>
      <c r="Y83" s="94"/>
      <c r="Z83" s="94">
        <f t="shared" si="78"/>
        <v>0</v>
      </c>
      <c r="AC83" s="97" t="s">
        <v>526</v>
      </c>
      <c r="AE83" s="112">
        <f t="shared" si="76"/>
        <v>11</v>
      </c>
      <c r="AG83" s="550">
        <f t="shared" si="77"/>
        <v>3241</v>
      </c>
      <c r="AH83" s="267"/>
      <c r="AI83" s="130">
        <f t="shared" si="67"/>
        <v>109.54580000000001</v>
      </c>
      <c r="AJ83" s="94"/>
      <c r="AK83" s="130">
        <f t="shared" si="68"/>
        <v>24.631599999999999</v>
      </c>
      <c r="AL83" s="94"/>
      <c r="AM83" s="130">
        <f t="shared" si="69"/>
        <v>115.05549999999999</v>
      </c>
      <c r="AN83" s="94"/>
      <c r="AO83" s="130">
        <f t="shared" si="70"/>
        <v>2922.0855999999999</v>
      </c>
      <c r="AP83" s="94"/>
      <c r="AQ83" s="130">
        <f t="shared" si="71"/>
        <v>0</v>
      </c>
      <c r="AR83" s="94"/>
      <c r="AS83" s="130">
        <f t="shared" si="72"/>
        <v>0</v>
      </c>
      <c r="AT83" s="94"/>
      <c r="AU83" s="130">
        <f t="shared" si="73"/>
        <v>0</v>
      </c>
      <c r="AV83" s="130"/>
      <c r="AW83" s="130">
        <f t="shared" si="74"/>
        <v>52.828299999999999</v>
      </c>
      <c r="AX83" s="130"/>
      <c r="AY83" s="130">
        <f t="shared" si="75"/>
        <v>16.853199999999998</v>
      </c>
      <c r="BA83" s="82">
        <f t="shared" si="59"/>
        <v>0</v>
      </c>
      <c r="BB83" s="67"/>
      <c r="BC83" s="67"/>
      <c r="BD83" s="67"/>
    </row>
    <row r="84" spans="1:56" s="340" customFormat="1" x14ac:dyDescent="0.2">
      <c r="A84" s="680"/>
      <c r="B84" s="680"/>
      <c r="C84" s="516"/>
      <c r="D84" s="273">
        <v>641.5</v>
      </c>
      <c r="E84" s="94"/>
      <c r="F84" s="97" t="s">
        <v>420</v>
      </c>
      <c r="G84" s="55"/>
      <c r="H84" s="131">
        <v>11</v>
      </c>
      <c r="I84" s="97"/>
      <c r="J84" s="553">
        <v>10837</v>
      </c>
      <c r="K84" s="267"/>
      <c r="L84" s="506">
        <f t="shared" si="60"/>
        <v>8666.348899999999</v>
      </c>
      <c r="M84" s="267"/>
      <c r="N84" s="506">
        <f t="shared" si="61"/>
        <v>1555.1094999999998</v>
      </c>
      <c r="O84" s="267"/>
      <c r="P84" s="506">
        <f t="shared" si="62"/>
        <v>49.850200000000001</v>
      </c>
      <c r="Q84" s="267"/>
      <c r="R84" s="506">
        <f t="shared" si="63"/>
        <v>308.85450000000003</v>
      </c>
      <c r="S84" s="267"/>
      <c r="T84" s="506">
        <f t="shared" si="64"/>
        <v>23.8414</v>
      </c>
      <c r="U84" s="267"/>
      <c r="V84" s="506">
        <f t="shared" si="65"/>
        <v>176.64309999999998</v>
      </c>
      <c r="W84" s="267"/>
      <c r="X84" s="506">
        <f t="shared" si="66"/>
        <v>56.352399999999996</v>
      </c>
      <c r="Y84" s="94"/>
      <c r="Z84" s="94">
        <f t="shared" si="78"/>
        <v>0</v>
      </c>
      <c r="AC84" s="97" t="s">
        <v>420</v>
      </c>
      <c r="AE84" s="112">
        <f t="shared" si="76"/>
        <v>11</v>
      </c>
      <c r="AG84" s="553">
        <f t="shared" si="77"/>
        <v>10837</v>
      </c>
      <c r="AH84" s="267"/>
      <c r="AI84" s="506">
        <f t="shared" si="67"/>
        <v>366.29060000000004</v>
      </c>
      <c r="AJ84" s="267"/>
      <c r="AK84" s="506">
        <f t="shared" si="68"/>
        <v>82.361199999999997</v>
      </c>
      <c r="AL84" s="267"/>
      <c r="AM84" s="506">
        <f t="shared" si="69"/>
        <v>384.71349999999995</v>
      </c>
      <c r="AN84" s="267"/>
      <c r="AO84" s="506">
        <f t="shared" si="70"/>
        <v>9770.6391999999996</v>
      </c>
      <c r="AP84" s="267"/>
      <c r="AQ84" s="506">
        <f t="shared" si="71"/>
        <v>0</v>
      </c>
      <c r="AR84" s="267"/>
      <c r="AS84" s="506">
        <f t="shared" si="72"/>
        <v>0</v>
      </c>
      <c r="AT84" s="267"/>
      <c r="AU84" s="506">
        <f t="shared" si="73"/>
        <v>0</v>
      </c>
      <c r="AV84" s="267"/>
      <c r="AW84" s="506">
        <f t="shared" si="74"/>
        <v>176.64309999999998</v>
      </c>
      <c r="AX84" s="267"/>
      <c r="AY84" s="506">
        <f t="shared" si="75"/>
        <v>56.352399999999996</v>
      </c>
      <c r="BA84" s="82">
        <f t="shared" si="59"/>
        <v>0</v>
      </c>
      <c r="BB84" s="67"/>
      <c r="BC84" s="67"/>
      <c r="BD84" s="67"/>
    </row>
    <row r="85" spans="1:56" s="340" customFormat="1" x14ac:dyDescent="0.2">
      <c r="A85" s="551"/>
      <c r="B85" s="551"/>
      <c r="C85" s="516"/>
      <c r="D85" s="273"/>
      <c r="E85" s="94"/>
      <c r="F85" s="97"/>
      <c r="G85" s="55"/>
      <c r="H85" s="131"/>
      <c r="I85" s="97"/>
      <c r="J85" s="550"/>
      <c r="K85" s="267"/>
      <c r="L85" s="267"/>
      <c r="M85" s="267"/>
      <c r="N85" s="267"/>
      <c r="O85" s="267"/>
      <c r="P85" s="267"/>
      <c r="Q85" s="267"/>
      <c r="R85" s="267"/>
      <c r="S85" s="267"/>
      <c r="T85" s="267"/>
      <c r="U85" s="267"/>
      <c r="V85" s="267"/>
      <c r="W85" s="267"/>
      <c r="X85" s="267"/>
      <c r="Z85" s="94">
        <f t="shared" si="78"/>
        <v>0</v>
      </c>
      <c r="AC85" s="97"/>
      <c r="AG85" s="550"/>
      <c r="AH85" s="267"/>
      <c r="AI85" s="267"/>
      <c r="AJ85" s="267"/>
      <c r="AK85" s="267"/>
      <c r="AL85" s="267"/>
      <c r="AM85" s="267"/>
      <c r="AN85" s="267"/>
      <c r="AO85" s="267"/>
      <c r="AP85" s="267"/>
      <c r="AQ85" s="267"/>
      <c r="AR85" s="267"/>
      <c r="AS85" s="267"/>
      <c r="AT85" s="267"/>
      <c r="AU85" s="267"/>
      <c r="AV85" s="267"/>
      <c r="AW85" s="267"/>
      <c r="AX85" s="267"/>
      <c r="AY85" s="267"/>
      <c r="BA85" s="82">
        <f t="shared" si="59"/>
        <v>0</v>
      </c>
      <c r="BB85" s="67"/>
      <c r="BC85" s="67"/>
      <c r="BD85" s="67"/>
    </row>
    <row r="86" spans="1:56" s="340" customFormat="1" x14ac:dyDescent="0.2">
      <c r="A86" s="551"/>
      <c r="B86" s="551"/>
      <c r="C86" s="516"/>
      <c r="D86" s="273"/>
      <c r="E86" s="94"/>
      <c r="F86" s="97" t="s">
        <v>40</v>
      </c>
      <c r="G86" s="55"/>
      <c r="H86" s="131"/>
      <c r="I86" s="97"/>
      <c r="J86" s="553">
        <f>SUM(J69:J85)</f>
        <v>2550119.5862429757</v>
      </c>
      <c r="K86" s="130"/>
      <c r="L86" s="553">
        <f>SUM(L69:L85)</f>
        <v>2039075.5543775044</v>
      </c>
      <c r="M86" s="130"/>
      <c r="N86" s="553">
        <f t="shared" ref="N86" si="79">SUM(N69:N85)</f>
        <v>365954.91317025392</v>
      </c>
      <c r="O86" s="130"/>
      <c r="P86" s="553">
        <f t="shared" ref="P86" si="80">SUM(P69:P85)</f>
        <v>11763.690528183584</v>
      </c>
      <c r="Q86" s="130"/>
      <c r="R86" s="553">
        <f t="shared" ref="R86" si="81">SUM(R69:R85)</f>
        <v>72739.320073663926</v>
      </c>
      <c r="S86" s="130"/>
      <c r="T86" s="553">
        <f t="shared" ref="T86" si="82">SUM(T69:T85)</f>
        <v>5649.8606200849126</v>
      </c>
      <c r="U86" s="130"/>
      <c r="V86" s="553">
        <f t="shared" ref="V86" si="83">SUM(V69:V85)</f>
        <v>41607.868052450904</v>
      </c>
      <c r="W86" s="130"/>
      <c r="X86" s="553">
        <f t="shared" ref="X86" si="84">SUM(X69:X85)</f>
        <v>13328.379420834119</v>
      </c>
      <c r="Z86" s="94">
        <f t="shared" si="78"/>
        <v>0</v>
      </c>
      <c r="AC86" s="97" t="s">
        <v>40</v>
      </c>
      <c r="AD86" s="55"/>
      <c r="AE86" s="131"/>
      <c r="AF86" s="97"/>
      <c r="AG86" s="553">
        <f>SUM(AG69:AG85)</f>
        <v>2550119.5862429757</v>
      </c>
      <c r="AH86" s="130"/>
      <c r="AI86" s="553">
        <f>SUM(AI69:AI85)</f>
        <v>85970.524433354251</v>
      </c>
      <c r="AJ86" s="130"/>
      <c r="AK86" s="553">
        <f>SUM(AK69:AK85)</f>
        <v>19423.304361575865</v>
      </c>
      <c r="AL86" s="130"/>
      <c r="AM86" s="553">
        <f>SUM(AM69:AM85)</f>
        <v>90589.056655106659</v>
      </c>
      <c r="AN86" s="130"/>
      <c r="AO86" s="553">
        <f>SUM(AO69:AO85)</f>
        <v>2299200.4533196539</v>
      </c>
      <c r="AP86" s="130"/>
      <c r="AQ86" s="553">
        <f>SUM(AQ69:AQ85)</f>
        <v>0</v>
      </c>
      <c r="AR86" s="130"/>
      <c r="AS86" s="553">
        <f>SUM(AS69:AS85)</f>
        <v>0</v>
      </c>
      <c r="AT86" s="130"/>
      <c r="AU86" s="553">
        <f>SUM(AU69:AU85)</f>
        <v>0</v>
      </c>
      <c r="AV86" s="130"/>
      <c r="AW86" s="553">
        <f t="shared" ref="AW86" si="85">SUM(AW69:AW85)</f>
        <v>41607.868052450904</v>
      </c>
      <c r="AX86" s="130"/>
      <c r="AY86" s="553">
        <f t="shared" ref="AY86" si="86">SUM(AY69:AY85)</f>
        <v>13328.379420834119</v>
      </c>
      <c r="BA86" s="82">
        <f t="shared" si="59"/>
        <v>0</v>
      </c>
      <c r="BB86" s="67"/>
      <c r="BC86" s="67"/>
      <c r="BD86" s="67"/>
    </row>
    <row r="87" spans="1:56" s="340" customFormat="1" x14ac:dyDescent="0.2">
      <c r="A87" s="551"/>
      <c r="B87" s="551"/>
      <c r="C87" s="516"/>
      <c r="D87" s="273"/>
      <c r="E87" s="94"/>
      <c r="F87" s="97"/>
      <c r="G87" s="55"/>
      <c r="H87" s="131"/>
      <c r="I87" s="97"/>
      <c r="J87" s="550"/>
      <c r="K87" s="267"/>
      <c r="L87" s="267"/>
      <c r="M87" s="267"/>
      <c r="N87" s="267"/>
      <c r="O87" s="267"/>
      <c r="P87" s="267"/>
      <c r="Q87" s="267"/>
      <c r="R87" s="267"/>
      <c r="S87" s="267"/>
      <c r="T87" s="267"/>
      <c r="U87" s="267"/>
      <c r="V87" s="267"/>
      <c r="W87" s="267"/>
      <c r="X87" s="267"/>
      <c r="Z87" s="94">
        <f t="shared" si="78"/>
        <v>0</v>
      </c>
      <c r="AC87" s="97"/>
      <c r="AG87" s="550"/>
      <c r="AH87" s="267"/>
      <c r="AI87" s="267"/>
      <c r="AJ87" s="267"/>
      <c r="AK87" s="267"/>
      <c r="AL87" s="267"/>
      <c r="AM87" s="267"/>
      <c r="AN87" s="267"/>
      <c r="AO87" s="267"/>
      <c r="AP87" s="267"/>
      <c r="AQ87" s="267"/>
      <c r="AR87" s="267"/>
      <c r="AS87" s="267"/>
      <c r="AT87" s="267"/>
      <c r="AU87" s="267"/>
      <c r="AV87" s="267"/>
      <c r="AW87" s="267"/>
      <c r="AX87" s="267"/>
      <c r="AY87" s="267"/>
      <c r="BA87" s="82">
        <f t="shared" si="59"/>
        <v>0</v>
      </c>
      <c r="BB87" s="67"/>
      <c r="BC87" s="67"/>
      <c r="BD87" s="67"/>
    </row>
    <row r="88" spans="1:56" s="340" customFormat="1" x14ac:dyDescent="0.2">
      <c r="A88" s="551"/>
      <c r="B88" s="551"/>
      <c r="C88" s="516"/>
      <c r="D88" s="273"/>
      <c r="E88" s="94"/>
      <c r="F88" s="97" t="s">
        <v>41</v>
      </c>
      <c r="G88" s="55"/>
      <c r="H88" s="131"/>
      <c r="I88" s="97"/>
      <c r="J88" s="550"/>
      <c r="K88" s="267"/>
      <c r="L88" s="267"/>
      <c r="M88" s="265"/>
      <c r="N88" s="265"/>
      <c r="O88" s="265"/>
      <c r="P88" s="265"/>
      <c r="Q88" s="265"/>
      <c r="R88" s="265"/>
      <c r="S88" s="265"/>
      <c r="T88" s="265"/>
      <c r="U88" s="265"/>
      <c r="V88" s="265"/>
      <c r="W88" s="265"/>
      <c r="X88" s="265"/>
      <c r="Z88" s="94">
        <f t="shared" si="78"/>
        <v>0</v>
      </c>
      <c r="AC88" s="97" t="s">
        <v>41</v>
      </c>
      <c r="AG88" s="550"/>
      <c r="AH88" s="267"/>
      <c r="AI88" s="267"/>
      <c r="AJ88" s="265"/>
      <c r="AK88" s="265"/>
      <c r="AL88" s="265"/>
      <c r="AM88" s="265"/>
      <c r="AN88" s="265"/>
      <c r="AO88" s="265"/>
      <c r="AP88" s="265"/>
      <c r="AQ88" s="265"/>
      <c r="AR88" s="265"/>
      <c r="AS88" s="265"/>
      <c r="AT88" s="265"/>
      <c r="AU88" s="265"/>
      <c r="AV88" s="265"/>
      <c r="AW88" s="265"/>
      <c r="AX88" s="265"/>
      <c r="AY88" s="265"/>
      <c r="BA88" s="82">
        <f t="shared" si="59"/>
        <v>0</v>
      </c>
      <c r="BB88" s="67"/>
      <c r="BC88" s="67"/>
      <c r="BD88" s="67"/>
    </row>
    <row r="89" spans="1:56" s="340" customFormat="1" ht="9.75" customHeight="1" x14ac:dyDescent="0.2">
      <c r="A89" s="551"/>
      <c r="B89" s="551"/>
      <c r="C89" s="516"/>
      <c r="D89" s="273"/>
      <c r="E89" s="94"/>
      <c r="G89" s="55"/>
      <c r="H89" s="131"/>
      <c r="I89" s="97"/>
      <c r="J89" s="550"/>
      <c r="K89" s="267"/>
      <c r="L89" s="267"/>
      <c r="M89" s="265"/>
      <c r="N89" s="265"/>
      <c r="O89" s="265"/>
      <c r="P89" s="265"/>
      <c r="Q89" s="265"/>
      <c r="R89" s="265"/>
      <c r="S89" s="265"/>
      <c r="T89" s="265"/>
      <c r="U89" s="265"/>
      <c r="V89" s="265"/>
      <c r="W89" s="265"/>
      <c r="X89" s="265"/>
      <c r="Z89" s="94">
        <f t="shared" si="78"/>
        <v>0</v>
      </c>
      <c r="AG89" s="550"/>
      <c r="AH89" s="267"/>
      <c r="AI89" s="267"/>
      <c r="AJ89" s="265"/>
      <c r="AK89" s="265"/>
      <c r="AL89" s="265"/>
      <c r="AM89" s="265"/>
      <c r="AN89" s="265"/>
      <c r="AO89" s="265"/>
      <c r="AP89" s="265"/>
      <c r="AQ89" s="265"/>
      <c r="AR89" s="265"/>
      <c r="AS89" s="265"/>
      <c r="AT89" s="265"/>
      <c r="AU89" s="265"/>
      <c r="AV89" s="265"/>
      <c r="AW89" s="265"/>
      <c r="AX89" s="265"/>
      <c r="AY89" s="265"/>
      <c r="BA89" s="82">
        <f t="shared" si="59"/>
        <v>0</v>
      </c>
      <c r="BB89" s="67"/>
      <c r="BC89" s="67"/>
      <c r="BD89" s="67"/>
    </row>
    <row r="90" spans="1:56" s="340" customFormat="1" x14ac:dyDescent="0.2">
      <c r="A90" s="551"/>
      <c r="B90" s="551"/>
      <c r="C90" s="516"/>
      <c r="D90" s="273">
        <v>601.6</v>
      </c>
      <c r="E90" s="94"/>
      <c r="F90" s="97" t="s">
        <v>531</v>
      </c>
      <c r="G90" s="55"/>
      <c r="H90" s="131">
        <v>12</v>
      </c>
      <c r="I90" s="97"/>
      <c r="J90" s="550">
        <v>1141909.4077272322</v>
      </c>
      <c r="K90" s="267"/>
      <c r="L90" s="130">
        <f t="shared" ref="L90:L100" si="87">(VLOOKUP($H90,Factors,L$378))*$J90</f>
        <v>550742.90734684409</v>
      </c>
      <c r="M90" s="94"/>
      <c r="N90" s="130">
        <f t="shared" ref="N90:N100" si="88">(VLOOKUP($H90,Factors,N$378))*$J90</f>
        <v>260926.29966567256</v>
      </c>
      <c r="O90" s="94"/>
      <c r="P90" s="130">
        <f t="shared" ref="P90:P100" si="89">(VLOOKUP($H90,Factors,P$378))*$J90</f>
        <v>28205.162370862636</v>
      </c>
      <c r="Q90" s="94"/>
      <c r="R90" s="130">
        <f t="shared" ref="R90:R100" si="90">(VLOOKUP($H90,Factors,R$378))*$J90</f>
        <v>58808.334497952455</v>
      </c>
      <c r="S90" s="94"/>
      <c r="T90" s="130">
        <f t="shared" ref="T90:T100" si="91">(VLOOKUP($H90,Factors,T$378))*$J90</f>
        <v>17242.832056681207</v>
      </c>
      <c r="U90" s="94"/>
      <c r="V90" s="130">
        <f t="shared" ref="V90:V100" si="92">(VLOOKUP($H90,Factors,V$378))*$J90</f>
        <v>101058.98258386005</v>
      </c>
      <c r="W90" s="94"/>
      <c r="X90" s="130">
        <f t="shared" ref="X90:X100" si="93">(VLOOKUP($H90,Factors,X$378))*$J90</f>
        <v>124924.8892053592</v>
      </c>
      <c r="Y90" s="94"/>
      <c r="Z90" s="94">
        <f t="shared" si="78"/>
        <v>0</v>
      </c>
      <c r="AC90" s="97" t="s">
        <v>531</v>
      </c>
      <c r="AE90" s="112">
        <f t="shared" ref="AE90:AE100" si="94">+H90</f>
        <v>12</v>
      </c>
      <c r="AG90" s="550">
        <f t="shared" ref="AG90:AG100" si="95">+J90</f>
        <v>1141909.4077272322</v>
      </c>
      <c r="AH90" s="267"/>
      <c r="AI90" s="130">
        <f t="shared" ref="AI90:AI100" si="96">(VLOOKUP($AE90,func,AI$378))*$AG90</f>
        <v>279311.04113008099</v>
      </c>
      <c r="AJ90" s="94"/>
      <c r="AK90" s="130">
        <f t="shared" ref="AK90:AK100" si="97">(VLOOKUP($AE90,func,AK$378))*$AG90</f>
        <v>6166.3108017270542</v>
      </c>
      <c r="AL90" s="94"/>
      <c r="AM90" s="130">
        <f t="shared" ref="AM90:AM100" si="98">(VLOOKUP($AE90,func,AM$378))*$AG90</f>
        <v>409374.52267021273</v>
      </c>
      <c r="AN90" s="94"/>
      <c r="AO90" s="130">
        <f t="shared" ref="AO90:AO100" si="99">(VLOOKUP($AE90,func,AO$378))*$AG90</f>
        <v>50814.96864386183</v>
      </c>
      <c r="AP90" s="94"/>
      <c r="AQ90" s="130">
        <f t="shared" ref="AQ90:AQ100" si="100">(VLOOKUP($AE90,func,AQ$378))*$AG90</f>
        <v>170258.69269213034</v>
      </c>
      <c r="AR90" s="94"/>
      <c r="AS90" s="130">
        <f t="shared" ref="AS90:AS100" si="101">(VLOOKUP($AE90,func,AS$378))*$AG90</f>
        <v>0</v>
      </c>
      <c r="AT90" s="94"/>
      <c r="AU90" s="130">
        <f t="shared" ref="AU90:AU100" si="102">(VLOOKUP($AE90,func,AU$378))*$AG90</f>
        <v>0</v>
      </c>
      <c r="AV90" s="94"/>
      <c r="AW90" s="130">
        <f t="shared" ref="AW90:AW100" si="103">(VLOOKUP($AE90,func,AW$378))*$AG90</f>
        <v>101058.98258386005</v>
      </c>
      <c r="AX90" s="94"/>
      <c r="AY90" s="130">
        <f t="shared" ref="AY90:AY100" si="104">(VLOOKUP($AE90,func,AY$378))*$AG90</f>
        <v>124924.8892053592</v>
      </c>
      <c r="BA90" s="82">
        <f t="shared" si="59"/>
        <v>0</v>
      </c>
      <c r="BB90" s="67"/>
      <c r="BC90" s="67"/>
      <c r="BD90" s="67"/>
    </row>
    <row r="91" spans="1:56" s="340" customFormat="1" x14ac:dyDescent="0.2">
      <c r="A91" s="551"/>
      <c r="B91" s="551"/>
      <c r="C91" s="516"/>
      <c r="D91" s="273">
        <v>601.6</v>
      </c>
      <c r="E91" s="94"/>
      <c r="F91" s="97" t="s">
        <v>535</v>
      </c>
      <c r="G91" s="55"/>
      <c r="H91" s="131">
        <v>12</v>
      </c>
      <c r="I91" s="97"/>
      <c r="J91" s="550">
        <v>0</v>
      </c>
      <c r="K91" s="267"/>
      <c r="L91" s="130">
        <f t="shared" si="87"/>
        <v>0</v>
      </c>
      <c r="M91" s="94"/>
      <c r="N91" s="130">
        <f t="shared" si="88"/>
        <v>0</v>
      </c>
      <c r="O91" s="94"/>
      <c r="P91" s="130">
        <f t="shared" si="89"/>
        <v>0</v>
      </c>
      <c r="Q91" s="94"/>
      <c r="R91" s="130">
        <f t="shared" si="90"/>
        <v>0</v>
      </c>
      <c r="S91" s="94"/>
      <c r="T91" s="130">
        <f t="shared" si="91"/>
        <v>0</v>
      </c>
      <c r="U91" s="94"/>
      <c r="V91" s="130">
        <f t="shared" si="92"/>
        <v>0</v>
      </c>
      <c r="W91" s="94"/>
      <c r="X91" s="130">
        <f t="shared" si="93"/>
        <v>0</v>
      </c>
      <c r="Y91" s="94"/>
      <c r="Z91" s="94">
        <f t="shared" si="78"/>
        <v>0</v>
      </c>
      <c r="AC91" s="97" t="s">
        <v>535</v>
      </c>
      <c r="AE91" s="112">
        <f t="shared" si="94"/>
        <v>12</v>
      </c>
      <c r="AG91" s="550">
        <f t="shared" si="95"/>
        <v>0</v>
      </c>
      <c r="AH91" s="267"/>
      <c r="AI91" s="130">
        <f t="shared" si="96"/>
        <v>0</v>
      </c>
      <c r="AJ91" s="94"/>
      <c r="AK91" s="130">
        <f t="shared" si="97"/>
        <v>0</v>
      </c>
      <c r="AL91" s="94"/>
      <c r="AM91" s="130">
        <f t="shared" si="98"/>
        <v>0</v>
      </c>
      <c r="AN91" s="94"/>
      <c r="AO91" s="130">
        <f t="shared" si="99"/>
        <v>0</v>
      </c>
      <c r="AP91" s="94"/>
      <c r="AQ91" s="130">
        <f t="shared" si="100"/>
        <v>0</v>
      </c>
      <c r="AR91" s="94"/>
      <c r="AS91" s="130">
        <f t="shared" si="101"/>
        <v>0</v>
      </c>
      <c r="AT91" s="94"/>
      <c r="AU91" s="130">
        <f t="shared" si="102"/>
        <v>0</v>
      </c>
      <c r="AV91" s="94"/>
      <c r="AW91" s="130">
        <f t="shared" si="103"/>
        <v>0</v>
      </c>
      <c r="AX91" s="94"/>
      <c r="AY91" s="130">
        <f t="shared" si="104"/>
        <v>0</v>
      </c>
      <c r="BA91" s="82">
        <f t="shared" si="59"/>
        <v>0</v>
      </c>
      <c r="BB91" s="67"/>
      <c r="BC91" s="67"/>
      <c r="BD91" s="67"/>
    </row>
    <row r="92" spans="1:56" s="340" customFormat="1" x14ac:dyDescent="0.2">
      <c r="A92" s="551"/>
      <c r="B92" s="551"/>
      <c r="C92" s="516"/>
      <c r="D92" s="273">
        <v>601.6</v>
      </c>
      <c r="E92" s="94"/>
      <c r="F92" s="97" t="s">
        <v>536</v>
      </c>
      <c r="G92" s="55"/>
      <c r="H92" s="131">
        <v>5</v>
      </c>
      <c r="I92" s="97"/>
      <c r="J92" s="550">
        <v>0</v>
      </c>
      <c r="K92" s="267"/>
      <c r="L92" s="130">
        <f t="shared" si="87"/>
        <v>0</v>
      </c>
      <c r="M92" s="94"/>
      <c r="N92" s="130">
        <f t="shared" si="88"/>
        <v>0</v>
      </c>
      <c r="O92" s="94"/>
      <c r="P92" s="130">
        <f t="shared" si="89"/>
        <v>0</v>
      </c>
      <c r="Q92" s="94"/>
      <c r="R92" s="130">
        <f t="shared" si="90"/>
        <v>0</v>
      </c>
      <c r="S92" s="94"/>
      <c r="T92" s="130">
        <f t="shared" si="91"/>
        <v>0</v>
      </c>
      <c r="U92" s="94"/>
      <c r="V92" s="130">
        <f t="shared" si="92"/>
        <v>0</v>
      </c>
      <c r="W92" s="94"/>
      <c r="X92" s="130">
        <f t="shared" si="93"/>
        <v>0</v>
      </c>
      <c r="Y92" s="94"/>
      <c r="Z92" s="94">
        <f t="shared" si="78"/>
        <v>0</v>
      </c>
      <c r="AC92" s="97" t="s">
        <v>536</v>
      </c>
      <c r="AE92" s="112">
        <f t="shared" si="94"/>
        <v>5</v>
      </c>
      <c r="AG92" s="550">
        <f t="shared" si="95"/>
        <v>0</v>
      </c>
      <c r="AH92" s="267"/>
      <c r="AI92" s="130">
        <f t="shared" si="96"/>
        <v>0</v>
      </c>
      <c r="AJ92" s="94"/>
      <c r="AK92" s="130">
        <f t="shared" si="97"/>
        <v>0</v>
      </c>
      <c r="AL92" s="94"/>
      <c r="AM92" s="130">
        <f t="shared" si="98"/>
        <v>0</v>
      </c>
      <c r="AN92" s="94"/>
      <c r="AO92" s="130">
        <f t="shared" si="99"/>
        <v>0</v>
      </c>
      <c r="AP92" s="94"/>
      <c r="AQ92" s="130">
        <f t="shared" si="100"/>
        <v>0</v>
      </c>
      <c r="AR92" s="94"/>
      <c r="AS92" s="130">
        <f t="shared" si="101"/>
        <v>0</v>
      </c>
      <c r="AT92" s="94"/>
      <c r="AU92" s="130">
        <f t="shared" si="102"/>
        <v>0</v>
      </c>
      <c r="AV92" s="94"/>
      <c r="AW92" s="130">
        <f t="shared" si="103"/>
        <v>0</v>
      </c>
      <c r="AX92" s="94"/>
      <c r="AY92" s="130">
        <f t="shared" si="104"/>
        <v>0</v>
      </c>
      <c r="BA92" s="82">
        <f t="shared" si="59"/>
        <v>0</v>
      </c>
      <c r="BB92" s="67"/>
      <c r="BC92" s="67"/>
      <c r="BD92" s="67"/>
    </row>
    <row r="93" spans="1:56" s="340" customFormat="1" x14ac:dyDescent="0.2">
      <c r="A93" s="551"/>
      <c r="B93" s="551"/>
      <c r="C93" s="516"/>
      <c r="D93" s="273">
        <v>601.6</v>
      </c>
      <c r="E93" s="94"/>
      <c r="F93" s="97" t="s">
        <v>537</v>
      </c>
      <c r="G93" s="55"/>
      <c r="H93" s="131">
        <v>7</v>
      </c>
      <c r="I93" s="97"/>
      <c r="J93" s="550">
        <v>99146.471455071776</v>
      </c>
      <c r="K93" s="267"/>
      <c r="L93" s="130">
        <f t="shared" si="87"/>
        <v>47352.354766942284</v>
      </c>
      <c r="M93" s="94"/>
      <c r="N93" s="130">
        <f t="shared" si="88"/>
        <v>30784.979386799787</v>
      </c>
      <c r="O93" s="94"/>
      <c r="P93" s="130">
        <f t="shared" si="89"/>
        <v>1209.5869517518759</v>
      </c>
      <c r="Q93" s="94"/>
      <c r="R93" s="130">
        <f t="shared" si="90"/>
        <v>7554.9611248764695</v>
      </c>
      <c r="S93" s="94"/>
      <c r="T93" s="130">
        <f t="shared" si="91"/>
        <v>664.28135874898089</v>
      </c>
      <c r="U93" s="94"/>
      <c r="V93" s="130">
        <f t="shared" si="92"/>
        <v>5601.7756372115555</v>
      </c>
      <c r="W93" s="94"/>
      <c r="X93" s="130">
        <f t="shared" si="93"/>
        <v>5978.5322287408271</v>
      </c>
      <c r="Y93" s="94"/>
      <c r="Z93" s="94">
        <f t="shared" si="78"/>
        <v>0</v>
      </c>
      <c r="AC93" s="97" t="s">
        <v>537</v>
      </c>
      <c r="AE93" s="112">
        <f t="shared" si="94"/>
        <v>7</v>
      </c>
      <c r="AG93" s="550">
        <f t="shared" si="95"/>
        <v>99146.471455071776</v>
      </c>
      <c r="AH93" s="267"/>
      <c r="AI93" s="130">
        <f t="shared" si="96"/>
        <v>38359.769805967269</v>
      </c>
      <c r="AJ93" s="94"/>
      <c r="AK93" s="130">
        <f t="shared" si="97"/>
        <v>8695.1455466097941</v>
      </c>
      <c r="AL93" s="94"/>
      <c r="AM93" s="130">
        <f t="shared" si="98"/>
        <v>40511.248236542328</v>
      </c>
      <c r="AN93" s="94"/>
      <c r="AO93" s="130">
        <f t="shared" si="99"/>
        <v>0</v>
      </c>
      <c r="AP93" s="94"/>
      <c r="AQ93" s="130">
        <f t="shared" si="100"/>
        <v>0</v>
      </c>
      <c r="AR93" s="94"/>
      <c r="AS93" s="130">
        <f t="shared" si="101"/>
        <v>0</v>
      </c>
      <c r="AT93" s="94"/>
      <c r="AU93" s="130">
        <f t="shared" si="102"/>
        <v>0</v>
      </c>
      <c r="AV93" s="94"/>
      <c r="AW93" s="130">
        <f t="shared" si="103"/>
        <v>5601.7756372115555</v>
      </c>
      <c r="AX93" s="94"/>
      <c r="AY93" s="130">
        <f t="shared" si="104"/>
        <v>5978.5322287408271</v>
      </c>
      <c r="BA93" s="82">
        <f t="shared" si="59"/>
        <v>0</v>
      </c>
      <c r="BB93" s="67"/>
      <c r="BC93" s="67"/>
      <c r="BD93" s="67"/>
    </row>
    <row r="94" spans="1:56" s="340" customFormat="1" x14ac:dyDescent="0.2">
      <c r="A94" s="551"/>
      <c r="B94" s="551"/>
      <c r="C94" s="516"/>
      <c r="D94" s="273">
        <v>601.6</v>
      </c>
      <c r="E94" s="94"/>
      <c r="F94" s="97" t="s">
        <v>534</v>
      </c>
      <c r="G94" s="55"/>
      <c r="H94" s="131">
        <v>10</v>
      </c>
      <c r="I94" s="97"/>
      <c r="J94" s="550">
        <v>240816.2451639011</v>
      </c>
      <c r="K94" s="267"/>
      <c r="L94" s="130">
        <f t="shared" si="87"/>
        <v>198504.83088860367</v>
      </c>
      <c r="M94" s="94"/>
      <c r="N94" s="130">
        <f t="shared" si="88"/>
        <v>26417.542094479952</v>
      </c>
      <c r="O94" s="94"/>
      <c r="P94" s="130">
        <f t="shared" si="89"/>
        <v>264.89786968029125</v>
      </c>
      <c r="Q94" s="94"/>
      <c r="R94" s="130">
        <f t="shared" si="90"/>
        <v>3347.3458077782252</v>
      </c>
      <c r="S94" s="94"/>
      <c r="T94" s="130">
        <f t="shared" si="91"/>
        <v>96.326498065560443</v>
      </c>
      <c r="U94" s="94"/>
      <c r="V94" s="130">
        <f t="shared" si="92"/>
        <v>12185.302005293395</v>
      </c>
      <c r="W94" s="94"/>
      <c r="X94" s="130">
        <f t="shared" si="93"/>
        <v>0</v>
      </c>
      <c r="Y94" s="94"/>
      <c r="Z94" s="94">
        <f t="shared" si="78"/>
        <v>0</v>
      </c>
      <c r="AC94" s="97" t="s">
        <v>534</v>
      </c>
      <c r="AE94" s="112">
        <f t="shared" si="94"/>
        <v>10</v>
      </c>
      <c r="AG94" s="550">
        <f t="shared" si="95"/>
        <v>240816.2451639011</v>
      </c>
      <c r="AH94" s="267"/>
      <c r="AI94" s="130">
        <f t="shared" si="96"/>
        <v>0</v>
      </c>
      <c r="AJ94" s="94"/>
      <c r="AK94" s="130">
        <f t="shared" si="97"/>
        <v>0</v>
      </c>
      <c r="AL94" s="94"/>
      <c r="AM94" s="130">
        <f t="shared" si="98"/>
        <v>0</v>
      </c>
      <c r="AN94" s="94"/>
      <c r="AO94" s="130">
        <f t="shared" si="99"/>
        <v>0</v>
      </c>
      <c r="AP94" s="94"/>
      <c r="AQ94" s="130">
        <f t="shared" si="100"/>
        <v>228630.9431586077</v>
      </c>
      <c r="AR94" s="94"/>
      <c r="AS94" s="130">
        <f t="shared" si="101"/>
        <v>0</v>
      </c>
      <c r="AT94" s="94"/>
      <c r="AU94" s="130">
        <f t="shared" si="102"/>
        <v>0</v>
      </c>
      <c r="AV94" s="94"/>
      <c r="AW94" s="130">
        <f t="shared" si="103"/>
        <v>12185.302005293395</v>
      </c>
      <c r="AX94" s="94"/>
      <c r="AY94" s="130">
        <f t="shared" si="104"/>
        <v>0</v>
      </c>
      <c r="BA94" s="82">
        <f t="shared" si="59"/>
        <v>0</v>
      </c>
      <c r="BB94" s="67"/>
      <c r="BC94" s="67"/>
      <c r="BD94" s="67"/>
    </row>
    <row r="95" spans="1:56" s="340" customFormat="1" x14ac:dyDescent="0.2">
      <c r="A95" s="551"/>
      <c r="B95" s="551"/>
      <c r="C95" s="516"/>
      <c r="D95" s="273">
        <v>601.6</v>
      </c>
      <c r="E95" s="94"/>
      <c r="F95" s="97" t="s">
        <v>538</v>
      </c>
      <c r="G95" s="55"/>
      <c r="H95" s="131">
        <v>9</v>
      </c>
      <c r="I95" s="97"/>
      <c r="J95" s="550">
        <v>69154.59883927647</v>
      </c>
      <c r="K95" s="267"/>
      <c r="L95" s="130">
        <f t="shared" si="87"/>
        <v>57412.147956367327</v>
      </c>
      <c r="M95" s="94"/>
      <c r="N95" s="130">
        <f t="shared" si="88"/>
        <v>8824.1268118916778</v>
      </c>
      <c r="O95" s="94"/>
      <c r="P95" s="130">
        <f t="shared" si="89"/>
        <v>269.70293547317823</v>
      </c>
      <c r="Q95" s="94"/>
      <c r="R95" s="130">
        <f t="shared" si="90"/>
        <v>1659.7103721426354</v>
      </c>
      <c r="S95" s="94"/>
      <c r="T95" s="130">
        <f t="shared" si="91"/>
        <v>124.47827791069764</v>
      </c>
      <c r="U95" s="94"/>
      <c r="V95" s="130">
        <f t="shared" si="92"/>
        <v>864.43248549095597</v>
      </c>
      <c r="W95" s="94"/>
      <c r="X95" s="130">
        <f t="shared" si="93"/>
        <v>0</v>
      </c>
      <c r="Y95" s="94"/>
      <c r="Z95" s="94">
        <f t="shared" si="78"/>
        <v>0</v>
      </c>
      <c r="AC95" s="97" t="s">
        <v>538</v>
      </c>
      <c r="AE95" s="112">
        <f t="shared" si="94"/>
        <v>9</v>
      </c>
      <c r="AG95" s="550">
        <f t="shared" si="95"/>
        <v>69154.59883927647</v>
      </c>
      <c r="AH95" s="267"/>
      <c r="AI95" s="130">
        <f t="shared" si="96"/>
        <v>0</v>
      </c>
      <c r="AJ95" s="94"/>
      <c r="AK95" s="130">
        <f t="shared" si="97"/>
        <v>0</v>
      </c>
      <c r="AL95" s="94"/>
      <c r="AM95" s="130">
        <f t="shared" si="98"/>
        <v>0</v>
      </c>
      <c r="AN95" s="94"/>
      <c r="AO95" s="130">
        <f t="shared" si="99"/>
        <v>68290.16635378552</v>
      </c>
      <c r="AP95" s="94"/>
      <c r="AQ95" s="130">
        <f t="shared" si="100"/>
        <v>0</v>
      </c>
      <c r="AR95" s="94"/>
      <c r="AS95" s="130">
        <f t="shared" si="101"/>
        <v>0</v>
      </c>
      <c r="AT95" s="94"/>
      <c r="AU95" s="130">
        <f t="shared" si="102"/>
        <v>0</v>
      </c>
      <c r="AV95" s="94"/>
      <c r="AW95" s="130">
        <f t="shared" si="103"/>
        <v>864.43248549095597</v>
      </c>
      <c r="AX95" s="94"/>
      <c r="AY95" s="130">
        <f t="shared" si="104"/>
        <v>0</v>
      </c>
      <c r="BA95" s="82">
        <f t="shared" si="59"/>
        <v>0</v>
      </c>
      <c r="BB95" s="67"/>
      <c r="BC95" s="67"/>
      <c r="BD95" s="67"/>
    </row>
    <row r="96" spans="1:56" s="340" customFormat="1" x14ac:dyDescent="0.2">
      <c r="A96" s="551"/>
      <c r="B96" s="551"/>
      <c r="C96" s="516"/>
      <c r="D96" s="273">
        <v>601.6</v>
      </c>
      <c r="E96" s="94"/>
      <c r="F96" s="97" t="s">
        <v>539</v>
      </c>
      <c r="G96" s="55"/>
      <c r="H96" s="131">
        <v>8</v>
      </c>
      <c r="I96" s="97"/>
      <c r="J96" s="550">
        <v>36621.58288743598</v>
      </c>
      <c r="K96" s="267"/>
      <c r="L96" s="130">
        <f t="shared" si="87"/>
        <v>0</v>
      </c>
      <c r="M96" s="94"/>
      <c r="N96" s="130">
        <f t="shared" si="88"/>
        <v>0</v>
      </c>
      <c r="O96" s="94"/>
      <c r="P96" s="130">
        <f t="shared" si="89"/>
        <v>0</v>
      </c>
      <c r="Q96" s="94"/>
      <c r="R96" s="130">
        <f t="shared" si="90"/>
        <v>0</v>
      </c>
      <c r="S96" s="94"/>
      <c r="T96" s="130">
        <f t="shared" si="91"/>
        <v>0</v>
      </c>
      <c r="U96" s="94"/>
      <c r="V96" s="130">
        <f t="shared" si="92"/>
        <v>0</v>
      </c>
      <c r="W96" s="94"/>
      <c r="X96" s="130">
        <f t="shared" si="93"/>
        <v>36621.58288743598</v>
      </c>
      <c r="Y96" s="94"/>
      <c r="Z96" s="94">
        <f t="shared" si="78"/>
        <v>0</v>
      </c>
      <c r="AC96" s="97" t="s">
        <v>539</v>
      </c>
      <c r="AE96" s="112">
        <f t="shared" si="94"/>
        <v>8</v>
      </c>
      <c r="AG96" s="550">
        <f t="shared" si="95"/>
        <v>36621.58288743598</v>
      </c>
      <c r="AH96" s="267"/>
      <c r="AI96" s="130">
        <f t="shared" si="96"/>
        <v>0</v>
      </c>
      <c r="AJ96" s="94"/>
      <c r="AK96" s="130">
        <f t="shared" si="97"/>
        <v>0</v>
      </c>
      <c r="AL96" s="94"/>
      <c r="AM96" s="130">
        <f t="shared" si="98"/>
        <v>0</v>
      </c>
      <c r="AN96" s="94"/>
      <c r="AO96" s="130">
        <f t="shared" si="99"/>
        <v>0</v>
      </c>
      <c r="AP96" s="94"/>
      <c r="AQ96" s="130">
        <f t="shared" si="100"/>
        <v>0</v>
      </c>
      <c r="AR96" s="94"/>
      <c r="AS96" s="130">
        <f t="shared" si="101"/>
        <v>0</v>
      </c>
      <c r="AT96" s="94"/>
      <c r="AU96" s="130">
        <f t="shared" si="102"/>
        <v>0</v>
      </c>
      <c r="AV96" s="94"/>
      <c r="AW96" s="130">
        <f t="shared" si="103"/>
        <v>0</v>
      </c>
      <c r="AX96" s="94"/>
      <c r="AY96" s="130">
        <f t="shared" si="104"/>
        <v>36621.58288743598</v>
      </c>
      <c r="BA96" s="82">
        <f t="shared" si="59"/>
        <v>0</v>
      </c>
      <c r="BB96" s="67"/>
      <c r="BC96" s="67"/>
      <c r="BD96" s="67"/>
    </row>
    <row r="97" spans="1:56" s="340" customFormat="1" x14ac:dyDescent="0.2">
      <c r="A97" s="551"/>
      <c r="B97" s="551"/>
      <c r="C97" s="516"/>
      <c r="D97" s="273">
        <v>620.6</v>
      </c>
      <c r="E97" s="94"/>
      <c r="F97" s="97" t="s">
        <v>482</v>
      </c>
      <c r="G97" s="55"/>
      <c r="H97" s="131">
        <v>12</v>
      </c>
      <c r="I97" s="215"/>
      <c r="J97" s="515">
        <v>295382</v>
      </c>
      <c r="K97" s="267"/>
      <c r="L97" s="267">
        <f t="shared" si="87"/>
        <v>142462.73860000001</v>
      </c>
      <c r="M97" s="265"/>
      <c r="N97" s="267">
        <f t="shared" si="88"/>
        <v>67494.786999999997</v>
      </c>
      <c r="O97" s="265"/>
      <c r="P97" s="267">
        <f t="shared" si="89"/>
        <v>7295.9354000000003</v>
      </c>
      <c r="Q97" s="265"/>
      <c r="R97" s="267">
        <f t="shared" si="90"/>
        <v>15212.172999999999</v>
      </c>
      <c r="S97" s="265"/>
      <c r="T97" s="267">
        <f t="shared" si="91"/>
        <v>4460.2682000000004</v>
      </c>
      <c r="U97" s="265"/>
      <c r="V97" s="267">
        <f t="shared" si="92"/>
        <v>26141.306999999997</v>
      </c>
      <c r="W97" s="265"/>
      <c r="X97" s="267">
        <f t="shared" si="93"/>
        <v>32314.790799999999</v>
      </c>
      <c r="Y97" s="265"/>
      <c r="Z97" s="94">
        <f t="shared" si="78"/>
        <v>0</v>
      </c>
      <c r="AA97" s="68"/>
      <c r="AB97" s="68"/>
      <c r="AC97" s="97" t="s">
        <v>482</v>
      </c>
      <c r="AD97" s="68"/>
      <c r="AE97" s="280">
        <f t="shared" si="94"/>
        <v>12</v>
      </c>
      <c r="AF97" s="68"/>
      <c r="AG97" s="515">
        <f t="shared" si="95"/>
        <v>295382</v>
      </c>
      <c r="AH97" s="267"/>
      <c r="AI97" s="267">
        <f t="shared" si="96"/>
        <v>72250.4372</v>
      </c>
      <c r="AJ97" s="265"/>
      <c r="AK97" s="267">
        <f t="shared" si="97"/>
        <v>1595.0628000000002</v>
      </c>
      <c r="AL97" s="265"/>
      <c r="AM97" s="267">
        <f t="shared" si="98"/>
        <v>105894.447</v>
      </c>
      <c r="AN97" s="265"/>
      <c r="AO97" s="267">
        <f t="shared" si="99"/>
        <v>13144.499</v>
      </c>
      <c r="AP97" s="265"/>
      <c r="AQ97" s="267">
        <f t="shared" si="100"/>
        <v>44041.456200000001</v>
      </c>
      <c r="AR97" s="265"/>
      <c r="AS97" s="267">
        <f t="shared" si="101"/>
        <v>0</v>
      </c>
      <c r="AT97" s="265"/>
      <c r="AU97" s="267">
        <f t="shared" si="102"/>
        <v>0</v>
      </c>
      <c r="AV97" s="265"/>
      <c r="AW97" s="267">
        <f t="shared" si="103"/>
        <v>26141.306999999997</v>
      </c>
      <c r="AX97" s="265"/>
      <c r="AY97" s="267">
        <f t="shared" si="104"/>
        <v>32314.790799999999</v>
      </c>
      <c r="AZ97" s="68"/>
      <c r="BA97" s="82">
        <f t="shared" si="59"/>
        <v>0</v>
      </c>
      <c r="BB97" s="216"/>
      <c r="BC97" s="216"/>
      <c r="BD97" s="67"/>
    </row>
    <row r="98" spans="1:56" s="340" customFormat="1" x14ac:dyDescent="0.2">
      <c r="A98" s="551"/>
      <c r="B98" s="551"/>
      <c r="C98" s="516"/>
      <c r="D98" s="273">
        <v>675.6</v>
      </c>
      <c r="E98" s="94"/>
      <c r="F98" s="97" t="s">
        <v>503</v>
      </c>
      <c r="G98" s="55"/>
      <c r="H98" s="131">
        <v>12</v>
      </c>
      <c r="I98" s="215"/>
      <c r="J98" s="515">
        <v>128048</v>
      </c>
      <c r="K98" s="267"/>
      <c r="L98" s="267">
        <f t="shared" si="87"/>
        <v>61757.5504</v>
      </c>
      <c r="M98" s="267"/>
      <c r="N98" s="267">
        <f t="shared" si="88"/>
        <v>29258.968000000001</v>
      </c>
      <c r="O98" s="267"/>
      <c r="P98" s="267">
        <f t="shared" si="89"/>
        <v>3162.7856000000002</v>
      </c>
      <c r="Q98" s="267"/>
      <c r="R98" s="267">
        <f t="shared" si="90"/>
        <v>6594.4719999999998</v>
      </c>
      <c r="S98" s="267"/>
      <c r="T98" s="267">
        <f t="shared" si="91"/>
        <v>1933.5248000000001</v>
      </c>
      <c r="U98" s="267"/>
      <c r="V98" s="267">
        <f t="shared" si="92"/>
        <v>11332.248</v>
      </c>
      <c r="W98" s="267"/>
      <c r="X98" s="267">
        <f t="shared" si="93"/>
        <v>14008.4512</v>
      </c>
      <c r="Y98" s="215"/>
      <c r="Z98" s="94">
        <f t="shared" si="78"/>
        <v>0</v>
      </c>
      <c r="AA98" s="68"/>
      <c r="AB98" s="68"/>
      <c r="AC98" s="97" t="s">
        <v>503</v>
      </c>
      <c r="AD98" s="68"/>
      <c r="AE98" s="280">
        <f t="shared" si="94"/>
        <v>12</v>
      </c>
      <c r="AF98" s="68"/>
      <c r="AG98" s="515">
        <f t="shared" si="95"/>
        <v>128048</v>
      </c>
      <c r="AH98" s="267"/>
      <c r="AI98" s="267">
        <f t="shared" si="96"/>
        <v>31320.540800000002</v>
      </c>
      <c r="AJ98" s="267"/>
      <c r="AK98" s="267">
        <f t="shared" si="97"/>
        <v>691.45920000000001</v>
      </c>
      <c r="AL98" s="267"/>
      <c r="AM98" s="267">
        <f t="shared" si="98"/>
        <v>45905.207999999999</v>
      </c>
      <c r="AN98" s="267"/>
      <c r="AO98" s="267">
        <f t="shared" si="99"/>
        <v>5698.1359999999995</v>
      </c>
      <c r="AP98" s="267"/>
      <c r="AQ98" s="267">
        <f t="shared" si="100"/>
        <v>19091.9568</v>
      </c>
      <c r="AR98" s="267"/>
      <c r="AS98" s="267">
        <f t="shared" si="101"/>
        <v>0</v>
      </c>
      <c r="AT98" s="267"/>
      <c r="AU98" s="267">
        <f t="shared" si="102"/>
        <v>0</v>
      </c>
      <c r="AV98" s="267"/>
      <c r="AW98" s="267">
        <f t="shared" si="103"/>
        <v>11332.248</v>
      </c>
      <c r="AX98" s="267"/>
      <c r="AY98" s="267">
        <f t="shared" si="104"/>
        <v>14008.4512</v>
      </c>
      <c r="AZ98" s="68"/>
      <c r="BA98" s="82">
        <f t="shared" si="59"/>
        <v>0</v>
      </c>
      <c r="BB98" s="216"/>
      <c r="BC98" s="216"/>
      <c r="BD98" s="67"/>
    </row>
    <row r="99" spans="1:56" s="340" customFormat="1" x14ac:dyDescent="0.2">
      <c r="A99" s="551"/>
      <c r="B99" s="551"/>
      <c r="C99" s="516"/>
      <c r="D99" s="273">
        <v>675.6</v>
      </c>
      <c r="E99" s="94"/>
      <c r="F99" s="97" t="s">
        <v>506</v>
      </c>
      <c r="G99" s="55"/>
      <c r="H99" s="131">
        <v>5</v>
      </c>
      <c r="I99" s="97"/>
      <c r="J99" s="515">
        <v>1091902</v>
      </c>
      <c r="K99" s="267"/>
      <c r="L99" s="267">
        <f t="shared" si="87"/>
        <v>438398.65299999999</v>
      </c>
      <c r="M99" s="267"/>
      <c r="N99" s="267">
        <f t="shared" si="88"/>
        <v>285750.75339999999</v>
      </c>
      <c r="O99" s="267"/>
      <c r="P99" s="267">
        <f t="shared" si="89"/>
        <v>36141.956200000008</v>
      </c>
      <c r="Q99" s="267"/>
      <c r="R99" s="267">
        <f t="shared" si="90"/>
        <v>66715.212199999994</v>
      </c>
      <c r="S99" s="267"/>
      <c r="T99" s="267">
        <f t="shared" si="91"/>
        <v>22274.800800000001</v>
      </c>
      <c r="U99" s="267"/>
      <c r="V99" s="267">
        <f t="shared" si="92"/>
        <v>117270.2748</v>
      </c>
      <c r="W99" s="267"/>
      <c r="X99" s="267">
        <f t="shared" si="93"/>
        <v>125350.3496</v>
      </c>
      <c r="Y99" s="215"/>
      <c r="Z99" s="94">
        <f t="shared" si="78"/>
        <v>0</v>
      </c>
      <c r="AC99" s="97" t="s">
        <v>506</v>
      </c>
      <c r="AE99" s="112">
        <f t="shared" si="94"/>
        <v>5</v>
      </c>
      <c r="AG99" s="515">
        <f t="shared" si="95"/>
        <v>1091902</v>
      </c>
      <c r="AH99" s="267"/>
      <c r="AI99" s="267">
        <f t="shared" si="96"/>
        <v>338380.42979999998</v>
      </c>
      <c r="AJ99" s="267"/>
      <c r="AK99" s="267">
        <f t="shared" si="97"/>
        <v>0</v>
      </c>
      <c r="AL99" s="267"/>
      <c r="AM99" s="267">
        <f t="shared" si="98"/>
        <v>510900.94579999999</v>
      </c>
      <c r="AN99" s="267"/>
      <c r="AO99" s="267">
        <f t="shared" si="99"/>
        <v>0</v>
      </c>
      <c r="AP99" s="267"/>
      <c r="AQ99" s="267">
        <f t="shared" si="100"/>
        <v>0</v>
      </c>
      <c r="AR99" s="267"/>
      <c r="AS99" s="267">
        <f t="shared" si="101"/>
        <v>0</v>
      </c>
      <c r="AT99" s="267"/>
      <c r="AU99" s="267">
        <f t="shared" si="102"/>
        <v>0</v>
      </c>
      <c r="AV99" s="267"/>
      <c r="AW99" s="267">
        <f t="shared" si="103"/>
        <v>117270.2748</v>
      </c>
      <c r="AX99" s="267"/>
      <c r="AY99" s="267">
        <f t="shared" si="104"/>
        <v>125350.3496</v>
      </c>
      <c r="BA99" s="82">
        <f t="shared" si="59"/>
        <v>0</v>
      </c>
      <c r="BB99" s="67"/>
      <c r="BC99" s="67"/>
      <c r="BD99" s="67"/>
    </row>
    <row r="100" spans="1:56" s="340" customFormat="1" x14ac:dyDescent="0.2">
      <c r="A100" s="551"/>
      <c r="B100" s="551"/>
      <c r="C100" s="516"/>
      <c r="D100" s="273">
        <v>675.6</v>
      </c>
      <c r="E100" s="94"/>
      <c r="F100" s="97" t="s">
        <v>507</v>
      </c>
      <c r="G100" s="55"/>
      <c r="H100" s="131">
        <v>7</v>
      </c>
      <c r="I100" s="97"/>
      <c r="J100" s="553">
        <v>-4570</v>
      </c>
      <c r="K100" s="267"/>
      <c r="L100" s="506">
        <f t="shared" si="87"/>
        <v>-2182.6320000000001</v>
      </c>
      <c r="M100" s="267"/>
      <c r="N100" s="506">
        <f t="shared" si="88"/>
        <v>-1418.9849999999999</v>
      </c>
      <c r="O100" s="267"/>
      <c r="P100" s="506">
        <f t="shared" si="89"/>
        <v>-55.754000000000005</v>
      </c>
      <c r="Q100" s="267"/>
      <c r="R100" s="506">
        <f t="shared" si="90"/>
        <v>-348.23400000000004</v>
      </c>
      <c r="S100" s="267"/>
      <c r="T100" s="506">
        <f t="shared" si="91"/>
        <v>-30.619</v>
      </c>
      <c r="U100" s="267"/>
      <c r="V100" s="506">
        <f t="shared" si="92"/>
        <v>-258.20499999999998</v>
      </c>
      <c r="W100" s="267"/>
      <c r="X100" s="506">
        <f t="shared" si="93"/>
        <v>-275.57099999999997</v>
      </c>
      <c r="Y100" s="215"/>
      <c r="Z100" s="94">
        <f t="shared" si="78"/>
        <v>0</v>
      </c>
      <c r="AC100" s="97" t="s">
        <v>507</v>
      </c>
      <c r="AE100" s="112">
        <f t="shared" si="94"/>
        <v>7</v>
      </c>
      <c r="AG100" s="553">
        <f t="shared" si="95"/>
        <v>-4570</v>
      </c>
      <c r="AH100" s="267"/>
      <c r="AI100" s="506">
        <f t="shared" si="96"/>
        <v>-1768.133</v>
      </c>
      <c r="AJ100" s="267"/>
      <c r="AK100" s="506">
        <f t="shared" si="97"/>
        <v>-400.78899999999999</v>
      </c>
      <c r="AL100" s="267"/>
      <c r="AM100" s="506">
        <f t="shared" si="98"/>
        <v>-1867.3020000000001</v>
      </c>
      <c r="AN100" s="267"/>
      <c r="AO100" s="506">
        <f t="shared" si="99"/>
        <v>0</v>
      </c>
      <c r="AP100" s="267"/>
      <c r="AQ100" s="506">
        <f t="shared" si="100"/>
        <v>0</v>
      </c>
      <c r="AR100" s="267"/>
      <c r="AS100" s="506">
        <f t="shared" si="101"/>
        <v>0</v>
      </c>
      <c r="AT100" s="267"/>
      <c r="AU100" s="506">
        <f t="shared" si="102"/>
        <v>0</v>
      </c>
      <c r="AV100" s="267"/>
      <c r="AW100" s="506">
        <f t="shared" si="103"/>
        <v>-258.20499999999998</v>
      </c>
      <c r="AX100" s="267"/>
      <c r="AY100" s="506">
        <f t="shared" si="104"/>
        <v>-275.57099999999997</v>
      </c>
      <c r="BA100" s="82">
        <f t="shared" si="59"/>
        <v>0</v>
      </c>
      <c r="BB100" s="67"/>
      <c r="BC100" s="67"/>
      <c r="BD100" s="67"/>
    </row>
    <row r="101" spans="1:56" s="340" customFormat="1" x14ac:dyDescent="0.2">
      <c r="A101" s="551"/>
      <c r="B101" s="551"/>
      <c r="C101" s="516"/>
      <c r="D101" s="273"/>
      <c r="E101" s="94"/>
      <c r="F101" s="97"/>
      <c r="G101" s="55"/>
      <c r="H101" s="131"/>
      <c r="I101" s="97"/>
      <c r="J101" s="550"/>
      <c r="K101" s="267"/>
      <c r="L101" s="267"/>
      <c r="M101" s="267"/>
      <c r="N101" s="267"/>
      <c r="O101" s="267"/>
      <c r="P101" s="267"/>
      <c r="Q101" s="267"/>
      <c r="R101" s="267"/>
      <c r="S101" s="267"/>
      <c r="T101" s="267"/>
      <c r="U101" s="267"/>
      <c r="V101" s="267"/>
      <c r="W101" s="267"/>
      <c r="X101" s="267"/>
      <c r="Y101" s="215"/>
      <c r="Z101" s="94">
        <f t="shared" si="78"/>
        <v>0</v>
      </c>
      <c r="AC101" s="97"/>
      <c r="AE101" s="112"/>
      <c r="AG101" s="550"/>
      <c r="AH101" s="267"/>
      <c r="AI101" s="267"/>
      <c r="AJ101" s="267"/>
      <c r="AK101" s="267"/>
      <c r="AL101" s="267"/>
      <c r="AM101" s="267"/>
      <c r="AN101" s="267"/>
      <c r="AO101" s="267"/>
      <c r="AP101" s="267"/>
      <c r="AQ101" s="267"/>
      <c r="AR101" s="267"/>
      <c r="AS101" s="267"/>
      <c r="AT101" s="267"/>
      <c r="AU101" s="267"/>
      <c r="AV101" s="267"/>
      <c r="AW101" s="267"/>
      <c r="AX101" s="267"/>
      <c r="AY101" s="267"/>
      <c r="BA101" s="82">
        <f t="shared" si="59"/>
        <v>0</v>
      </c>
      <c r="BB101" s="67"/>
      <c r="BC101" s="67"/>
      <c r="BD101" s="67"/>
    </row>
    <row r="102" spans="1:56" s="340" customFormat="1" x14ac:dyDescent="0.2">
      <c r="A102" s="551"/>
      <c r="B102" s="551"/>
      <c r="C102" s="516"/>
      <c r="D102" s="273"/>
      <c r="E102" s="94"/>
      <c r="F102" s="97" t="s">
        <v>42</v>
      </c>
      <c r="G102" s="55"/>
      <c r="H102" s="131"/>
      <c r="I102" s="97"/>
      <c r="J102" s="553">
        <f>SUM(J90:J101)</f>
        <v>3098410.3060729178</v>
      </c>
      <c r="K102" s="130"/>
      <c r="L102" s="553">
        <f>SUM(L90:L101)</f>
        <v>1494448.5509587575</v>
      </c>
      <c r="M102" s="130"/>
      <c r="N102" s="553">
        <f>SUM(N90:N101)</f>
        <v>708038.47135884396</v>
      </c>
      <c r="O102" s="130"/>
      <c r="P102" s="553">
        <f>SUM(P90:P101)</f>
        <v>76494.273327767994</v>
      </c>
      <c r="Q102" s="130"/>
      <c r="R102" s="553">
        <f>SUM(R90:R101)</f>
        <v>159543.97500274976</v>
      </c>
      <c r="S102" s="130"/>
      <c r="T102" s="553">
        <f>SUM(T90:T101)</f>
        <v>46765.892991406443</v>
      </c>
      <c r="U102" s="130"/>
      <c r="V102" s="553">
        <f>SUM(V90:V101)</f>
        <v>274196.1175118559</v>
      </c>
      <c r="W102" s="130"/>
      <c r="X102" s="553">
        <f>SUM(X90:X101)</f>
        <v>338923.02492153598</v>
      </c>
      <c r="Y102" s="97"/>
      <c r="Z102" s="94">
        <f t="shared" si="78"/>
        <v>0</v>
      </c>
      <c r="AC102" s="97" t="s">
        <v>42</v>
      </c>
      <c r="AD102" s="55"/>
      <c r="AE102" s="131"/>
      <c r="AF102" s="97"/>
      <c r="AG102" s="553">
        <f>SUM(AG90:AG101)</f>
        <v>3098410.3060729178</v>
      </c>
      <c r="AH102" s="130"/>
      <c r="AI102" s="553">
        <f>SUM(AI90:AI101)</f>
        <v>757854.08573604829</v>
      </c>
      <c r="AJ102" s="130"/>
      <c r="AK102" s="553">
        <f>SUM(AK90:AK101)</f>
        <v>16747.189348336848</v>
      </c>
      <c r="AL102" s="130"/>
      <c r="AM102" s="553">
        <f>SUM(AM90:AM101)</f>
        <v>1110719.069706755</v>
      </c>
      <c r="AN102" s="130"/>
      <c r="AO102" s="553">
        <f>SUM(AO90:AO101)</f>
        <v>137947.76999764735</v>
      </c>
      <c r="AP102" s="130"/>
      <c r="AQ102" s="553">
        <f>SUM(AQ90:AQ101)</f>
        <v>462023.04885073804</v>
      </c>
      <c r="AR102" s="130"/>
      <c r="AS102" s="553">
        <f>SUM(AS90:AS101)</f>
        <v>0</v>
      </c>
      <c r="AT102" s="130"/>
      <c r="AU102" s="553">
        <f>SUM(AU90:AU101)</f>
        <v>0</v>
      </c>
      <c r="AV102" s="130"/>
      <c r="AW102" s="553">
        <f>SUM(AW90:AW101)</f>
        <v>274196.1175118559</v>
      </c>
      <c r="AX102" s="130"/>
      <c r="AY102" s="553">
        <f>SUM(AY90:AY101)</f>
        <v>338923.02492153598</v>
      </c>
      <c r="BA102" s="82">
        <f t="shared" si="59"/>
        <v>0</v>
      </c>
      <c r="BB102" s="67"/>
      <c r="BC102" s="67"/>
      <c r="BD102" s="67"/>
    </row>
    <row r="103" spans="1:56" s="340" customFormat="1" x14ac:dyDescent="0.2">
      <c r="A103" s="551"/>
      <c r="B103" s="551"/>
      <c r="C103" s="516"/>
      <c r="D103" s="273"/>
      <c r="E103" s="94"/>
      <c r="F103" s="97"/>
      <c r="G103" s="55"/>
      <c r="H103" s="131"/>
      <c r="I103" s="97"/>
      <c r="J103" s="550"/>
      <c r="K103" s="130"/>
      <c r="L103" s="550"/>
      <c r="M103" s="130"/>
      <c r="N103" s="550"/>
      <c r="O103" s="130"/>
      <c r="P103" s="550"/>
      <c r="Q103" s="130"/>
      <c r="R103" s="550"/>
      <c r="S103" s="130"/>
      <c r="T103" s="550"/>
      <c r="U103" s="130"/>
      <c r="V103" s="550"/>
      <c r="W103" s="130"/>
      <c r="X103" s="550"/>
      <c r="Y103" s="97"/>
      <c r="Z103" s="94">
        <f t="shared" si="78"/>
        <v>0</v>
      </c>
      <c r="AC103" s="97"/>
      <c r="AD103" s="55"/>
      <c r="AE103" s="131"/>
      <c r="AF103" s="97"/>
      <c r="AG103" s="550"/>
      <c r="AH103" s="130"/>
      <c r="AI103" s="550"/>
      <c r="AJ103" s="130"/>
      <c r="AK103" s="550"/>
      <c r="AL103" s="130"/>
      <c r="AM103" s="550"/>
      <c r="AN103" s="130"/>
      <c r="AO103" s="550"/>
      <c r="AP103" s="130"/>
      <c r="AQ103" s="550"/>
      <c r="AR103" s="130"/>
      <c r="AS103" s="550"/>
      <c r="AT103" s="130"/>
      <c r="AU103" s="550"/>
      <c r="AV103" s="130"/>
      <c r="AW103" s="550"/>
      <c r="AX103" s="130"/>
      <c r="AY103" s="550"/>
      <c r="BA103" s="82">
        <f t="shared" si="59"/>
        <v>0</v>
      </c>
      <c r="BB103" s="67"/>
      <c r="BC103" s="67"/>
      <c r="BD103" s="67"/>
    </row>
    <row r="104" spans="1:56" s="340" customFormat="1" x14ac:dyDescent="0.2">
      <c r="A104" s="551"/>
      <c r="B104" s="551"/>
      <c r="C104" s="516"/>
      <c r="D104" s="273"/>
      <c r="E104" s="94"/>
      <c r="F104" s="97" t="s">
        <v>45</v>
      </c>
      <c r="G104" s="55"/>
      <c r="H104" s="131"/>
      <c r="I104" s="97"/>
      <c r="J104" s="550">
        <f>J102+J86</f>
        <v>5648529.8923158934</v>
      </c>
      <c r="K104" s="130"/>
      <c r="L104" s="550">
        <f>L102+L86</f>
        <v>3533524.1053362619</v>
      </c>
      <c r="M104" s="130"/>
      <c r="N104" s="550">
        <f>N102+N86</f>
        <v>1073993.3845290979</v>
      </c>
      <c r="O104" s="130"/>
      <c r="P104" s="550">
        <f>P102+P86</f>
        <v>88257.963855951573</v>
      </c>
      <c r="Q104" s="130"/>
      <c r="R104" s="550">
        <f>R102+R86</f>
        <v>232283.29507641369</v>
      </c>
      <c r="S104" s="130"/>
      <c r="T104" s="550">
        <f>T102+T86</f>
        <v>52415.753611491353</v>
      </c>
      <c r="U104" s="130"/>
      <c r="V104" s="550">
        <f>V102+V86</f>
        <v>315803.98556430679</v>
      </c>
      <c r="W104" s="130"/>
      <c r="X104" s="550">
        <f>X102+X86</f>
        <v>352251.40434237011</v>
      </c>
      <c r="Y104" s="97"/>
      <c r="Z104" s="94">
        <f t="shared" si="78"/>
        <v>0</v>
      </c>
      <c r="AC104" s="97" t="s">
        <v>45</v>
      </c>
      <c r="AD104" s="55"/>
      <c r="AE104" s="131"/>
      <c r="AF104" s="97"/>
      <c r="AG104" s="550">
        <f>AG102+AG86</f>
        <v>5648529.8923158934</v>
      </c>
      <c r="AH104" s="130"/>
      <c r="AI104" s="550">
        <f>AI102+AI86</f>
        <v>843824.61016940256</v>
      </c>
      <c r="AJ104" s="130"/>
      <c r="AK104" s="550">
        <f>AK102+AK86</f>
        <v>36170.493709912713</v>
      </c>
      <c r="AL104" s="130"/>
      <c r="AM104" s="550">
        <f>AM102+AM86</f>
        <v>1201308.1263618616</v>
      </c>
      <c r="AN104" s="130"/>
      <c r="AO104" s="550">
        <f>AO102+AO86</f>
        <v>2437148.2233173014</v>
      </c>
      <c r="AP104" s="130"/>
      <c r="AQ104" s="550">
        <f>AQ102+AQ86</f>
        <v>462023.04885073804</v>
      </c>
      <c r="AR104" s="130"/>
      <c r="AS104" s="550">
        <f>AS102+AS86</f>
        <v>0</v>
      </c>
      <c r="AT104" s="130"/>
      <c r="AU104" s="550">
        <f>AU102+AU86</f>
        <v>0</v>
      </c>
      <c r="AV104" s="130"/>
      <c r="AW104" s="550">
        <f>AW102+AW86</f>
        <v>315803.98556430679</v>
      </c>
      <c r="AX104" s="130"/>
      <c r="AY104" s="550">
        <f>AY102+AY86</f>
        <v>352251.40434237011</v>
      </c>
      <c r="BA104" s="82">
        <f t="shared" si="59"/>
        <v>0</v>
      </c>
      <c r="BB104" s="67"/>
      <c r="BC104" s="67"/>
      <c r="BD104" s="67"/>
    </row>
    <row r="105" spans="1:56" s="340" customFormat="1" x14ac:dyDescent="0.2">
      <c r="A105" s="551"/>
      <c r="B105" s="551"/>
      <c r="C105" s="516"/>
      <c r="D105" s="273"/>
      <c r="E105" s="94"/>
      <c r="F105" s="97"/>
      <c r="G105" s="55"/>
      <c r="H105" s="131"/>
      <c r="I105" s="97"/>
      <c r="J105" s="550"/>
      <c r="K105" s="267"/>
      <c r="L105" s="267"/>
      <c r="M105" s="265"/>
      <c r="N105" s="267"/>
      <c r="O105" s="265"/>
      <c r="P105" s="267"/>
      <c r="Q105" s="265"/>
      <c r="R105" s="267"/>
      <c r="S105" s="265"/>
      <c r="T105" s="267"/>
      <c r="U105" s="265"/>
      <c r="V105" s="267"/>
      <c r="W105" s="265"/>
      <c r="X105" s="267"/>
      <c r="Z105" s="94">
        <f t="shared" si="78"/>
        <v>0</v>
      </c>
      <c r="AC105" s="97"/>
      <c r="AE105" s="112"/>
      <c r="AG105" s="550"/>
      <c r="AH105" s="267"/>
      <c r="AI105" s="267"/>
      <c r="AJ105" s="265"/>
      <c r="AK105" s="267"/>
      <c r="AL105" s="265"/>
      <c r="AM105" s="267"/>
      <c r="AN105" s="265"/>
      <c r="AO105" s="267"/>
      <c r="AP105" s="265"/>
      <c r="AQ105" s="267"/>
      <c r="AR105" s="265"/>
      <c r="AS105" s="267"/>
      <c r="AT105" s="265"/>
      <c r="AU105" s="267"/>
      <c r="AV105" s="265"/>
      <c r="AW105" s="267"/>
      <c r="AX105" s="265"/>
      <c r="AY105" s="267"/>
      <c r="BA105" s="82">
        <f t="shared" si="59"/>
        <v>0</v>
      </c>
      <c r="BB105" s="67"/>
      <c r="BC105" s="67"/>
      <c r="BD105" s="67"/>
    </row>
    <row r="106" spans="1:56" s="340" customFormat="1" x14ac:dyDescent="0.2">
      <c r="A106" s="551"/>
      <c r="B106" s="551"/>
      <c r="C106" s="516"/>
      <c r="D106" s="273"/>
      <c r="E106" s="94"/>
      <c r="F106" s="219" t="s">
        <v>353</v>
      </c>
      <c r="G106" s="55"/>
      <c r="H106" s="131"/>
      <c r="I106" s="97"/>
      <c r="J106" s="550"/>
      <c r="K106" s="267"/>
      <c r="L106" s="267"/>
      <c r="M106" s="265"/>
      <c r="N106" s="267"/>
      <c r="O106" s="265"/>
      <c r="P106" s="267"/>
      <c r="Q106" s="265"/>
      <c r="R106" s="267"/>
      <c r="S106" s="265"/>
      <c r="T106" s="267"/>
      <c r="U106" s="265"/>
      <c r="V106" s="267"/>
      <c r="W106" s="265"/>
      <c r="X106" s="267"/>
      <c r="Z106" s="94">
        <f t="shared" si="78"/>
        <v>0</v>
      </c>
      <c r="AC106" s="97" t="s">
        <v>353</v>
      </c>
      <c r="AE106" s="112"/>
      <c r="AG106" s="550"/>
      <c r="AH106" s="267"/>
      <c r="AI106" s="267"/>
      <c r="AJ106" s="265"/>
      <c r="AK106" s="267"/>
      <c r="AL106" s="265"/>
      <c r="AM106" s="267"/>
      <c r="AN106" s="265"/>
      <c r="AO106" s="267"/>
      <c r="AP106" s="265"/>
      <c r="AQ106" s="267"/>
      <c r="AR106" s="265"/>
      <c r="AS106" s="267"/>
      <c r="AT106" s="265"/>
      <c r="AU106" s="267"/>
      <c r="AV106" s="265"/>
      <c r="AW106" s="267"/>
      <c r="AX106" s="265"/>
      <c r="AY106" s="267"/>
      <c r="BA106" s="82">
        <f t="shared" si="59"/>
        <v>0</v>
      </c>
      <c r="BB106" s="67"/>
      <c r="BC106" s="67"/>
      <c r="BD106" s="67"/>
    </row>
    <row r="107" spans="1:56" s="340" customFormat="1" x14ac:dyDescent="0.2">
      <c r="A107" s="551"/>
      <c r="B107" s="551"/>
      <c r="C107" s="516"/>
      <c r="D107" s="273">
        <v>601.70000000000005</v>
      </c>
      <c r="E107" s="94"/>
      <c r="F107" s="97" t="s">
        <v>540</v>
      </c>
      <c r="G107" s="55"/>
      <c r="H107" s="131">
        <v>14</v>
      </c>
      <c r="I107" s="97"/>
      <c r="J107" s="550">
        <v>504584.27544418722</v>
      </c>
      <c r="K107" s="267"/>
      <c r="L107" s="130">
        <f t="shared" ref="L107:L120" si="105">(VLOOKUP($H107,Factors,L$378))*$J107</f>
        <v>459272.60750929924</v>
      </c>
      <c r="M107" s="94"/>
      <c r="N107" s="130">
        <f t="shared" ref="N107:N120" si="106">(VLOOKUP($H107,Factors,N$378))*$J107</f>
        <v>35018.148715826595</v>
      </c>
      <c r="O107" s="94"/>
      <c r="P107" s="130">
        <f t="shared" ref="P107:P120" si="107">(VLOOKUP($H107,Factors,P$378))*$J107</f>
        <v>201.8337101776749</v>
      </c>
      <c r="Q107" s="94"/>
      <c r="R107" s="130">
        <f t="shared" ref="R107:R120" si="108">(VLOOKUP($H107,Factors,R$378))*$J107</f>
        <v>3027.5056526651233</v>
      </c>
      <c r="S107" s="94"/>
      <c r="T107" s="130">
        <f t="shared" ref="T107:T120" si="109">(VLOOKUP($H107,Factors,T$378))*$J107</f>
        <v>50.458427544418726</v>
      </c>
      <c r="U107" s="94"/>
      <c r="V107" s="130">
        <f t="shared" ref="V107:V120" si="110">(VLOOKUP($H107,Factors,V$378))*$J107</f>
        <v>7013.7214286742019</v>
      </c>
      <c r="W107" s="94"/>
      <c r="X107" s="130">
        <f t="shared" ref="X107:X120" si="111">(VLOOKUP($H107,Factors,X$378))*$J107</f>
        <v>0</v>
      </c>
      <c r="Y107" s="94"/>
      <c r="Z107" s="94">
        <f t="shared" si="78"/>
        <v>0</v>
      </c>
      <c r="AC107" s="97" t="s">
        <v>540</v>
      </c>
      <c r="AE107" s="112">
        <f t="shared" ref="AE107:AE120" si="112">+H107</f>
        <v>14</v>
      </c>
      <c r="AG107" s="550">
        <f t="shared" ref="AG107:AG120" si="113">+J107</f>
        <v>504584.27544418722</v>
      </c>
      <c r="AH107" s="267"/>
      <c r="AI107" s="130">
        <f t="shared" ref="AI107:AI120" si="114">(VLOOKUP($AE107,func,AI$378))*$AG107</f>
        <v>0</v>
      </c>
      <c r="AJ107" s="94"/>
      <c r="AK107" s="130">
        <f t="shared" ref="AK107:AK120" si="115">(VLOOKUP($AE107,func,AK$378))*$AG107</f>
        <v>0</v>
      </c>
      <c r="AL107" s="94"/>
      <c r="AM107" s="130">
        <f t="shared" ref="AM107:AM120" si="116">(VLOOKUP($AE107,func,AM$378))*$AG107</f>
        <v>0</v>
      </c>
      <c r="AN107" s="94"/>
      <c r="AO107" s="130">
        <f t="shared" ref="AO107:AO120" si="117">(VLOOKUP($AE107,func,AO$378))*$AG107</f>
        <v>0</v>
      </c>
      <c r="AP107" s="94"/>
      <c r="AQ107" s="130">
        <f t="shared" ref="AQ107:AQ120" si="118">(VLOOKUP($AE107,func,AQ$378))*$AG107</f>
        <v>0</v>
      </c>
      <c r="AR107" s="94"/>
      <c r="AS107" s="130">
        <f t="shared" ref="AS107:AS120" si="119">(VLOOKUP($AE107,func,AS$378))*$AG107</f>
        <v>504584.27544418722</v>
      </c>
      <c r="AT107" s="94"/>
      <c r="AU107" s="130">
        <f t="shared" ref="AU107:AU120" si="120">(VLOOKUP($AE107,func,AU$378))*$AG107</f>
        <v>0</v>
      </c>
      <c r="AV107" s="94"/>
      <c r="AW107" s="130">
        <f t="shared" ref="AW107:AW120" si="121">(VLOOKUP($AE107,func,AW$378))*$AG107</f>
        <v>0</v>
      </c>
      <c r="AX107" s="94"/>
      <c r="AY107" s="130">
        <f t="shared" ref="AY107:AY120" si="122">(VLOOKUP($AE107,func,AY$378))*$AG107</f>
        <v>0</v>
      </c>
      <c r="BA107" s="82">
        <f t="shared" si="59"/>
        <v>0</v>
      </c>
      <c r="BB107" s="67"/>
      <c r="BC107" s="67"/>
      <c r="BD107" s="67"/>
    </row>
    <row r="108" spans="1:56" s="340" customFormat="1" x14ac:dyDescent="0.2">
      <c r="A108" s="551"/>
      <c r="B108" s="551"/>
      <c r="C108" s="516"/>
      <c r="D108" s="273">
        <v>636.70000000000005</v>
      </c>
      <c r="E108" s="94"/>
      <c r="F108" s="97" t="s">
        <v>478</v>
      </c>
      <c r="G108" s="55"/>
      <c r="H108" s="131">
        <v>13</v>
      </c>
      <c r="I108" s="97"/>
      <c r="J108" s="550">
        <v>-1589</v>
      </c>
      <c r="K108" s="267"/>
      <c r="L108" s="130">
        <f t="shared" si="105"/>
        <v>-1432.3245999999999</v>
      </c>
      <c r="M108" s="94"/>
      <c r="N108" s="130">
        <f t="shared" si="106"/>
        <v>-109.3232</v>
      </c>
      <c r="O108" s="94"/>
      <c r="P108" s="130">
        <f t="shared" si="107"/>
        <v>-0.63560000000000005</v>
      </c>
      <c r="Q108" s="94"/>
      <c r="R108" s="130">
        <f t="shared" si="108"/>
        <v>-9.5340000000000007</v>
      </c>
      <c r="S108" s="94"/>
      <c r="T108" s="130">
        <f t="shared" si="109"/>
        <v>-0.15890000000000001</v>
      </c>
      <c r="U108" s="94"/>
      <c r="V108" s="130">
        <f t="shared" si="110"/>
        <v>-36.546999999999997</v>
      </c>
      <c r="W108" s="94"/>
      <c r="X108" s="130">
        <f t="shared" si="111"/>
        <v>-0.47669999999999996</v>
      </c>
      <c r="Y108" s="94"/>
      <c r="Z108" s="94">
        <f t="shared" si="78"/>
        <v>0</v>
      </c>
      <c r="AC108" s="97" t="s">
        <v>478</v>
      </c>
      <c r="AE108" s="112">
        <f t="shared" si="112"/>
        <v>13</v>
      </c>
      <c r="AG108" s="550">
        <f t="shared" si="113"/>
        <v>-1589</v>
      </c>
      <c r="AH108" s="267"/>
      <c r="AI108" s="130">
        <f t="shared" si="114"/>
        <v>0</v>
      </c>
      <c r="AJ108" s="94"/>
      <c r="AK108" s="130">
        <f t="shared" si="115"/>
        <v>0</v>
      </c>
      <c r="AL108" s="94"/>
      <c r="AM108" s="130">
        <f t="shared" si="116"/>
        <v>0</v>
      </c>
      <c r="AN108" s="94"/>
      <c r="AO108" s="130">
        <f t="shared" si="117"/>
        <v>0</v>
      </c>
      <c r="AP108" s="94"/>
      <c r="AQ108" s="130">
        <f t="shared" si="118"/>
        <v>0</v>
      </c>
      <c r="AR108" s="94"/>
      <c r="AS108" s="130">
        <f t="shared" si="119"/>
        <v>-1551.9763</v>
      </c>
      <c r="AT108" s="94"/>
      <c r="AU108" s="130">
        <f t="shared" si="120"/>
        <v>0</v>
      </c>
      <c r="AV108" s="94"/>
      <c r="AW108" s="130">
        <f t="shared" si="121"/>
        <v>-36.546999999999997</v>
      </c>
      <c r="AX108" s="94"/>
      <c r="AY108" s="130">
        <f t="shared" si="122"/>
        <v>-0.47669999999999996</v>
      </c>
      <c r="BA108" s="82">
        <f t="shared" si="59"/>
        <v>0</v>
      </c>
      <c r="BB108" s="67"/>
      <c r="BC108" s="67"/>
      <c r="BD108" s="67"/>
    </row>
    <row r="109" spans="1:56" s="340" customFormat="1" x14ac:dyDescent="0.2">
      <c r="A109" s="551"/>
      <c r="B109" s="551"/>
      <c r="C109" s="516"/>
      <c r="D109" s="273">
        <v>601.70000000000005</v>
      </c>
      <c r="E109" s="94"/>
      <c r="F109" s="97" t="s">
        <v>541</v>
      </c>
      <c r="G109" s="55"/>
      <c r="H109" s="131">
        <v>13</v>
      </c>
      <c r="I109" s="97"/>
      <c r="J109" s="550">
        <v>419533.90547469846</v>
      </c>
      <c r="K109" s="267"/>
      <c r="L109" s="130">
        <f t="shared" si="105"/>
        <v>378167.86239489319</v>
      </c>
      <c r="M109" s="94"/>
      <c r="N109" s="130">
        <f t="shared" si="106"/>
        <v>28863.932696659253</v>
      </c>
      <c r="O109" s="94"/>
      <c r="P109" s="130">
        <f t="shared" si="107"/>
        <v>167.81356218987941</v>
      </c>
      <c r="Q109" s="94"/>
      <c r="R109" s="130">
        <f t="shared" si="108"/>
        <v>2517.2034328481909</v>
      </c>
      <c r="S109" s="94"/>
      <c r="T109" s="130">
        <f t="shared" si="109"/>
        <v>41.953390547469851</v>
      </c>
      <c r="U109" s="94"/>
      <c r="V109" s="130">
        <f t="shared" si="110"/>
        <v>9649.2798259180636</v>
      </c>
      <c r="W109" s="94"/>
      <c r="X109" s="130">
        <f t="shared" si="111"/>
        <v>125.86017164240953</v>
      </c>
      <c r="Y109" s="94"/>
      <c r="Z109" s="94">
        <f t="shared" si="78"/>
        <v>0</v>
      </c>
      <c r="AC109" s="97" t="s">
        <v>541</v>
      </c>
      <c r="AE109" s="112">
        <f t="shared" si="112"/>
        <v>13</v>
      </c>
      <c r="AG109" s="550">
        <f t="shared" si="113"/>
        <v>419533.90547469846</v>
      </c>
      <c r="AH109" s="267"/>
      <c r="AI109" s="130">
        <f t="shared" si="114"/>
        <v>0</v>
      </c>
      <c r="AJ109" s="94"/>
      <c r="AK109" s="130">
        <f t="shared" si="115"/>
        <v>0</v>
      </c>
      <c r="AL109" s="94"/>
      <c r="AM109" s="130">
        <f t="shared" si="116"/>
        <v>0</v>
      </c>
      <c r="AN109" s="94"/>
      <c r="AO109" s="130">
        <f t="shared" si="117"/>
        <v>0</v>
      </c>
      <c r="AP109" s="94"/>
      <c r="AQ109" s="130">
        <f t="shared" si="118"/>
        <v>0</v>
      </c>
      <c r="AR109" s="94"/>
      <c r="AS109" s="130">
        <f t="shared" si="119"/>
        <v>409758.76547713799</v>
      </c>
      <c r="AT109" s="94"/>
      <c r="AU109" s="130">
        <f t="shared" si="120"/>
        <v>0</v>
      </c>
      <c r="AV109" s="94"/>
      <c r="AW109" s="130">
        <f t="shared" si="121"/>
        <v>9649.2798259180636</v>
      </c>
      <c r="AX109" s="94"/>
      <c r="AY109" s="130">
        <f t="shared" si="122"/>
        <v>125.86017164240953</v>
      </c>
      <c r="BA109" s="82">
        <f t="shared" si="59"/>
        <v>0</v>
      </c>
      <c r="BB109" s="67"/>
      <c r="BC109" s="67"/>
      <c r="BD109" s="67"/>
    </row>
    <row r="110" spans="1:56" s="340" customFormat="1" x14ac:dyDescent="0.2">
      <c r="A110" s="551"/>
      <c r="B110" s="551"/>
      <c r="C110" s="516"/>
      <c r="D110" s="273">
        <v>670.7</v>
      </c>
      <c r="E110" s="94"/>
      <c r="F110" s="97" t="s">
        <v>424</v>
      </c>
      <c r="G110" s="55"/>
      <c r="H110" s="131">
        <v>20</v>
      </c>
      <c r="I110" s="97"/>
      <c r="J110" s="550">
        <v>986931.7330452376</v>
      </c>
      <c r="K110" s="267"/>
      <c r="L110" s="130">
        <f t="shared" si="105"/>
        <v>871065.94758572674</v>
      </c>
      <c r="M110" s="94"/>
      <c r="N110" s="130">
        <f t="shared" si="106"/>
        <v>90600.333093552821</v>
      </c>
      <c r="O110" s="94"/>
      <c r="P110" s="130">
        <f t="shared" si="107"/>
        <v>0</v>
      </c>
      <c r="Q110" s="94"/>
      <c r="R110" s="130">
        <f t="shared" si="108"/>
        <v>98.693173304523768</v>
      </c>
      <c r="S110" s="94"/>
      <c r="T110" s="130">
        <f t="shared" si="109"/>
        <v>0</v>
      </c>
      <c r="U110" s="94"/>
      <c r="V110" s="130">
        <f t="shared" si="110"/>
        <v>25166.759192653557</v>
      </c>
      <c r="W110" s="94"/>
      <c r="X110" s="130">
        <f t="shared" si="111"/>
        <v>0</v>
      </c>
      <c r="Y110" s="94"/>
      <c r="Z110" s="94">
        <f t="shared" si="78"/>
        <v>0</v>
      </c>
      <c r="AC110" s="97" t="s">
        <v>424</v>
      </c>
      <c r="AE110" s="112">
        <f t="shared" si="112"/>
        <v>20</v>
      </c>
      <c r="AG110" s="550">
        <f t="shared" si="113"/>
        <v>986931.7330452376</v>
      </c>
      <c r="AH110" s="267"/>
      <c r="AI110" s="130">
        <f t="shared" si="114"/>
        <v>0</v>
      </c>
      <c r="AJ110" s="94"/>
      <c r="AK110" s="130">
        <f t="shared" si="115"/>
        <v>0</v>
      </c>
      <c r="AL110" s="94"/>
      <c r="AM110" s="130">
        <f t="shared" si="116"/>
        <v>0</v>
      </c>
      <c r="AN110" s="94"/>
      <c r="AO110" s="130">
        <f t="shared" si="117"/>
        <v>0</v>
      </c>
      <c r="AP110" s="94"/>
      <c r="AQ110" s="130">
        <f t="shared" si="118"/>
        <v>0</v>
      </c>
      <c r="AR110" s="94"/>
      <c r="AS110" s="130">
        <f t="shared" si="119"/>
        <v>0</v>
      </c>
      <c r="AT110" s="94"/>
      <c r="AU110" s="130">
        <f t="shared" si="120"/>
        <v>986931.7330452376</v>
      </c>
      <c r="AV110" s="94"/>
      <c r="AW110" s="130">
        <f t="shared" si="121"/>
        <v>0</v>
      </c>
      <c r="AX110" s="94"/>
      <c r="AY110" s="130">
        <f t="shared" si="122"/>
        <v>0</v>
      </c>
      <c r="BA110" s="82">
        <f t="shared" si="59"/>
        <v>0</v>
      </c>
      <c r="BB110" s="67"/>
      <c r="BC110" s="67"/>
      <c r="BD110" s="67"/>
    </row>
    <row r="111" spans="1:56" s="340" customFormat="1" x14ac:dyDescent="0.2">
      <c r="A111" s="551"/>
      <c r="B111" s="681"/>
      <c r="C111" s="516"/>
      <c r="D111" s="273">
        <v>650.70000000000005</v>
      </c>
      <c r="E111" s="94"/>
      <c r="F111" s="97" t="s">
        <v>489</v>
      </c>
      <c r="G111" s="55"/>
      <c r="H111" s="131">
        <v>14</v>
      </c>
      <c r="I111" s="97"/>
      <c r="J111" s="550">
        <v>0</v>
      </c>
      <c r="K111" s="267"/>
      <c r="L111" s="130">
        <f t="shared" si="105"/>
        <v>0</v>
      </c>
      <c r="M111" s="94"/>
      <c r="N111" s="130">
        <f t="shared" si="106"/>
        <v>0</v>
      </c>
      <c r="O111" s="94"/>
      <c r="P111" s="130">
        <f t="shared" si="107"/>
        <v>0</v>
      </c>
      <c r="Q111" s="94"/>
      <c r="R111" s="130">
        <f t="shared" si="108"/>
        <v>0</v>
      </c>
      <c r="S111" s="94"/>
      <c r="T111" s="130">
        <f t="shared" si="109"/>
        <v>0</v>
      </c>
      <c r="U111" s="94"/>
      <c r="V111" s="130">
        <f t="shared" si="110"/>
        <v>0</v>
      </c>
      <c r="W111" s="94"/>
      <c r="X111" s="130">
        <f t="shared" si="111"/>
        <v>0</v>
      </c>
      <c r="Y111" s="94"/>
      <c r="Z111" s="94">
        <f t="shared" si="78"/>
        <v>0</v>
      </c>
      <c r="AC111" s="97" t="s">
        <v>489</v>
      </c>
      <c r="AE111" s="112">
        <f t="shared" si="112"/>
        <v>14</v>
      </c>
      <c r="AG111" s="550">
        <f t="shared" si="113"/>
        <v>0</v>
      </c>
      <c r="AH111" s="267"/>
      <c r="AI111" s="130">
        <f t="shared" si="114"/>
        <v>0</v>
      </c>
      <c r="AJ111" s="94"/>
      <c r="AK111" s="130">
        <f t="shared" si="115"/>
        <v>0</v>
      </c>
      <c r="AL111" s="94"/>
      <c r="AM111" s="130">
        <f t="shared" si="116"/>
        <v>0</v>
      </c>
      <c r="AN111" s="94"/>
      <c r="AO111" s="130">
        <f t="shared" si="117"/>
        <v>0</v>
      </c>
      <c r="AP111" s="94"/>
      <c r="AQ111" s="130">
        <f t="shared" si="118"/>
        <v>0</v>
      </c>
      <c r="AR111" s="94"/>
      <c r="AS111" s="130">
        <f t="shared" si="119"/>
        <v>0</v>
      </c>
      <c r="AT111" s="94"/>
      <c r="AU111" s="130">
        <f t="shared" si="120"/>
        <v>0</v>
      </c>
      <c r="AV111" s="94"/>
      <c r="AW111" s="130">
        <f t="shared" si="121"/>
        <v>0</v>
      </c>
      <c r="AX111" s="94"/>
      <c r="AY111" s="130">
        <f t="shared" si="122"/>
        <v>0</v>
      </c>
      <c r="BA111" s="82">
        <f t="shared" si="59"/>
        <v>0</v>
      </c>
      <c r="BB111" s="67"/>
      <c r="BC111" s="67"/>
      <c r="BD111" s="67"/>
    </row>
    <row r="112" spans="1:56" s="340" customFormat="1" x14ac:dyDescent="0.2">
      <c r="A112" s="551"/>
      <c r="B112" s="551"/>
      <c r="C112" s="516"/>
      <c r="D112" s="273">
        <v>675.7</v>
      </c>
      <c r="E112" s="94"/>
      <c r="F112" s="97" t="s">
        <v>523</v>
      </c>
      <c r="G112" s="55"/>
      <c r="H112" s="131">
        <v>13</v>
      </c>
      <c r="I112" s="97"/>
      <c r="J112" s="550">
        <v>62603</v>
      </c>
      <c r="K112" s="267"/>
      <c r="L112" s="130">
        <f t="shared" si="105"/>
        <v>56430.3442</v>
      </c>
      <c r="M112" s="94"/>
      <c r="N112" s="130">
        <f t="shared" si="106"/>
        <v>4307.0864000000001</v>
      </c>
      <c r="O112" s="94"/>
      <c r="P112" s="130">
        <f t="shared" si="107"/>
        <v>25.0412</v>
      </c>
      <c r="Q112" s="94"/>
      <c r="R112" s="130">
        <f t="shared" si="108"/>
        <v>375.61799999999999</v>
      </c>
      <c r="S112" s="94"/>
      <c r="T112" s="130">
        <f t="shared" si="109"/>
        <v>6.2603</v>
      </c>
      <c r="U112" s="94"/>
      <c r="V112" s="130">
        <f t="shared" si="110"/>
        <v>1439.8689999999999</v>
      </c>
      <c r="W112" s="94"/>
      <c r="X112" s="130">
        <f t="shared" si="111"/>
        <v>18.780899999999999</v>
      </c>
      <c r="Y112" s="94"/>
      <c r="Z112" s="94">
        <f t="shared" si="78"/>
        <v>0</v>
      </c>
      <c r="AC112" s="97" t="s">
        <v>523</v>
      </c>
      <c r="AE112" s="112">
        <f t="shared" si="112"/>
        <v>13</v>
      </c>
      <c r="AG112" s="550">
        <f t="shared" si="113"/>
        <v>62603</v>
      </c>
      <c r="AH112" s="267"/>
      <c r="AI112" s="130">
        <f t="shared" si="114"/>
        <v>0</v>
      </c>
      <c r="AJ112" s="94"/>
      <c r="AK112" s="130">
        <f t="shared" si="115"/>
        <v>0</v>
      </c>
      <c r="AL112" s="94"/>
      <c r="AM112" s="130">
        <f t="shared" si="116"/>
        <v>0</v>
      </c>
      <c r="AN112" s="94"/>
      <c r="AO112" s="130">
        <f t="shared" si="117"/>
        <v>0</v>
      </c>
      <c r="AP112" s="94"/>
      <c r="AQ112" s="130">
        <f t="shared" si="118"/>
        <v>0</v>
      </c>
      <c r="AR112" s="94"/>
      <c r="AS112" s="130">
        <f t="shared" si="119"/>
        <v>61144.350100000003</v>
      </c>
      <c r="AT112" s="94"/>
      <c r="AU112" s="130">
        <f t="shared" si="120"/>
        <v>0</v>
      </c>
      <c r="AV112" s="94"/>
      <c r="AW112" s="130">
        <f t="shared" si="121"/>
        <v>1439.8689999999999</v>
      </c>
      <c r="AX112" s="94"/>
      <c r="AY112" s="130">
        <f t="shared" si="122"/>
        <v>18.780899999999999</v>
      </c>
      <c r="BA112" s="82">
        <f t="shared" si="59"/>
        <v>0</v>
      </c>
      <c r="BB112" s="67"/>
      <c r="BC112" s="67"/>
      <c r="BD112" s="67"/>
    </row>
    <row r="113" spans="1:56" s="340" customFormat="1" x14ac:dyDescent="0.2">
      <c r="A113" s="551"/>
      <c r="B113" s="551"/>
      <c r="C113" s="495"/>
      <c r="D113" s="273">
        <v>675.7</v>
      </c>
      <c r="E113" s="94"/>
      <c r="F113" s="97" t="s">
        <v>490</v>
      </c>
      <c r="G113" s="55"/>
      <c r="H113" s="131">
        <v>13</v>
      </c>
      <c r="I113" s="97"/>
      <c r="J113" s="550">
        <v>144373</v>
      </c>
      <c r="K113" s="267"/>
      <c r="L113" s="130">
        <f t="shared" si="105"/>
        <v>130137.8222</v>
      </c>
      <c r="M113" s="94"/>
      <c r="N113" s="130">
        <f t="shared" si="106"/>
        <v>9932.8624</v>
      </c>
      <c r="O113" s="94"/>
      <c r="P113" s="130">
        <f t="shared" si="107"/>
        <v>57.749200000000002</v>
      </c>
      <c r="Q113" s="94"/>
      <c r="R113" s="130">
        <f t="shared" si="108"/>
        <v>866.23800000000006</v>
      </c>
      <c r="S113" s="94"/>
      <c r="T113" s="130">
        <f t="shared" si="109"/>
        <v>14.4373</v>
      </c>
      <c r="U113" s="94"/>
      <c r="V113" s="130">
        <f t="shared" si="110"/>
        <v>3320.5789999999997</v>
      </c>
      <c r="W113" s="94"/>
      <c r="X113" s="130">
        <f t="shared" si="111"/>
        <v>43.311899999999994</v>
      </c>
      <c r="Y113" s="94"/>
      <c r="Z113" s="94">
        <f t="shared" si="78"/>
        <v>0</v>
      </c>
      <c r="AC113" s="97" t="s">
        <v>490</v>
      </c>
      <c r="AE113" s="112">
        <f t="shared" si="112"/>
        <v>13</v>
      </c>
      <c r="AG113" s="550">
        <f t="shared" si="113"/>
        <v>144373</v>
      </c>
      <c r="AH113" s="267"/>
      <c r="AI113" s="130">
        <f t="shared" si="114"/>
        <v>0</v>
      </c>
      <c r="AJ113" s="94"/>
      <c r="AK113" s="130">
        <f t="shared" si="115"/>
        <v>0</v>
      </c>
      <c r="AL113" s="94"/>
      <c r="AM113" s="130">
        <f t="shared" si="116"/>
        <v>0</v>
      </c>
      <c r="AN113" s="94"/>
      <c r="AO113" s="130">
        <f t="shared" si="117"/>
        <v>0</v>
      </c>
      <c r="AP113" s="94"/>
      <c r="AQ113" s="130">
        <f t="shared" si="118"/>
        <v>0</v>
      </c>
      <c r="AR113" s="94"/>
      <c r="AS113" s="130">
        <f t="shared" si="119"/>
        <v>141009.1091</v>
      </c>
      <c r="AT113" s="94"/>
      <c r="AU113" s="130">
        <f t="shared" si="120"/>
        <v>0</v>
      </c>
      <c r="AV113" s="94"/>
      <c r="AW113" s="130">
        <f t="shared" si="121"/>
        <v>3320.5789999999997</v>
      </c>
      <c r="AX113" s="94"/>
      <c r="AY113" s="130">
        <f t="shared" si="122"/>
        <v>43.311899999999994</v>
      </c>
      <c r="BA113" s="82">
        <f t="shared" si="59"/>
        <v>0</v>
      </c>
      <c r="BB113" s="67"/>
      <c r="BC113" s="67"/>
      <c r="BD113" s="67"/>
    </row>
    <row r="114" spans="1:56" s="340" customFormat="1" x14ac:dyDescent="0.2">
      <c r="A114" s="551"/>
      <c r="B114" s="551"/>
      <c r="C114" s="676"/>
      <c r="D114" s="273">
        <v>675.7</v>
      </c>
      <c r="E114" s="94"/>
      <c r="F114" s="97" t="s">
        <v>491</v>
      </c>
      <c r="G114" s="55"/>
      <c r="H114" s="131">
        <v>13</v>
      </c>
      <c r="I114" s="97"/>
      <c r="J114" s="550">
        <v>10270</v>
      </c>
      <c r="K114" s="267"/>
      <c r="L114" s="130">
        <f t="shared" si="105"/>
        <v>9257.3780000000006</v>
      </c>
      <c r="M114" s="94"/>
      <c r="N114" s="130">
        <f t="shared" si="106"/>
        <v>706.57600000000002</v>
      </c>
      <c r="O114" s="94"/>
      <c r="P114" s="130">
        <f t="shared" si="107"/>
        <v>4.1080000000000005</v>
      </c>
      <c r="Q114" s="94"/>
      <c r="R114" s="130">
        <f t="shared" si="108"/>
        <v>61.620000000000005</v>
      </c>
      <c r="S114" s="94"/>
      <c r="T114" s="130">
        <f t="shared" si="109"/>
        <v>1.0270000000000001</v>
      </c>
      <c r="U114" s="94"/>
      <c r="V114" s="130">
        <f t="shared" si="110"/>
        <v>236.21</v>
      </c>
      <c r="W114" s="94"/>
      <c r="X114" s="130">
        <f t="shared" si="111"/>
        <v>3.0809999999999995</v>
      </c>
      <c r="Y114" s="94"/>
      <c r="Z114" s="94">
        <f t="shared" si="78"/>
        <v>0</v>
      </c>
      <c r="AC114" s="97" t="s">
        <v>491</v>
      </c>
      <c r="AE114" s="112">
        <f t="shared" si="112"/>
        <v>13</v>
      </c>
      <c r="AG114" s="550">
        <f t="shared" si="113"/>
        <v>10270</v>
      </c>
      <c r="AH114" s="267"/>
      <c r="AI114" s="130">
        <f t="shared" si="114"/>
        <v>0</v>
      </c>
      <c r="AJ114" s="94"/>
      <c r="AK114" s="130">
        <f t="shared" si="115"/>
        <v>0</v>
      </c>
      <c r="AL114" s="94"/>
      <c r="AM114" s="130">
        <f t="shared" si="116"/>
        <v>0</v>
      </c>
      <c r="AN114" s="94"/>
      <c r="AO114" s="130">
        <f t="shared" si="117"/>
        <v>0</v>
      </c>
      <c r="AP114" s="94"/>
      <c r="AQ114" s="130">
        <f t="shared" si="118"/>
        <v>0</v>
      </c>
      <c r="AR114" s="94"/>
      <c r="AS114" s="130">
        <f t="shared" si="119"/>
        <v>10030.709000000001</v>
      </c>
      <c r="AT114" s="94"/>
      <c r="AU114" s="130">
        <f t="shared" si="120"/>
        <v>0</v>
      </c>
      <c r="AV114" s="94"/>
      <c r="AW114" s="130">
        <f t="shared" si="121"/>
        <v>236.21</v>
      </c>
      <c r="AX114" s="94"/>
      <c r="AY114" s="130">
        <f t="shared" si="122"/>
        <v>3.0809999999999995</v>
      </c>
      <c r="BA114" s="82">
        <f t="shared" si="59"/>
        <v>0</v>
      </c>
      <c r="BB114" s="67"/>
      <c r="BC114" s="67"/>
      <c r="BD114" s="67"/>
    </row>
    <row r="115" spans="1:56" s="340" customFormat="1" x14ac:dyDescent="0.2">
      <c r="A115" s="551"/>
      <c r="B115" s="551"/>
      <c r="C115" s="495"/>
      <c r="D115" s="273">
        <v>675.7</v>
      </c>
      <c r="E115" s="94"/>
      <c r="F115" s="97" t="s">
        <v>496</v>
      </c>
      <c r="G115" s="55"/>
      <c r="H115" s="131">
        <v>13</v>
      </c>
      <c r="I115" s="97"/>
      <c r="J115" s="550">
        <v>0</v>
      </c>
      <c r="K115" s="267"/>
      <c r="L115" s="130">
        <f t="shared" si="105"/>
        <v>0</v>
      </c>
      <c r="M115" s="94"/>
      <c r="N115" s="130">
        <f t="shared" si="106"/>
        <v>0</v>
      </c>
      <c r="O115" s="94"/>
      <c r="P115" s="130">
        <f t="shared" si="107"/>
        <v>0</v>
      </c>
      <c r="Q115" s="94"/>
      <c r="R115" s="130">
        <f t="shared" si="108"/>
        <v>0</v>
      </c>
      <c r="S115" s="94"/>
      <c r="T115" s="130">
        <f t="shared" si="109"/>
        <v>0</v>
      </c>
      <c r="U115" s="94"/>
      <c r="V115" s="130">
        <f t="shared" si="110"/>
        <v>0</v>
      </c>
      <c r="W115" s="94"/>
      <c r="X115" s="130">
        <f t="shared" si="111"/>
        <v>0</v>
      </c>
      <c r="Y115" s="94"/>
      <c r="Z115" s="94">
        <f t="shared" si="78"/>
        <v>0</v>
      </c>
      <c r="AC115" s="97" t="s">
        <v>496</v>
      </c>
      <c r="AE115" s="112">
        <f t="shared" si="112"/>
        <v>13</v>
      </c>
      <c r="AG115" s="550">
        <f t="shared" si="113"/>
        <v>0</v>
      </c>
      <c r="AH115" s="267"/>
      <c r="AI115" s="130">
        <f t="shared" si="114"/>
        <v>0</v>
      </c>
      <c r="AJ115" s="94"/>
      <c r="AK115" s="130">
        <f t="shared" si="115"/>
        <v>0</v>
      </c>
      <c r="AL115" s="94"/>
      <c r="AM115" s="130">
        <f t="shared" si="116"/>
        <v>0</v>
      </c>
      <c r="AN115" s="94"/>
      <c r="AO115" s="130">
        <f t="shared" si="117"/>
        <v>0</v>
      </c>
      <c r="AP115" s="94"/>
      <c r="AQ115" s="130">
        <f t="shared" si="118"/>
        <v>0</v>
      </c>
      <c r="AR115" s="94"/>
      <c r="AS115" s="130">
        <f t="shared" si="119"/>
        <v>0</v>
      </c>
      <c r="AT115" s="94"/>
      <c r="AU115" s="130">
        <f t="shared" si="120"/>
        <v>0</v>
      </c>
      <c r="AV115" s="94"/>
      <c r="AW115" s="130">
        <f t="shared" si="121"/>
        <v>0</v>
      </c>
      <c r="AX115" s="94"/>
      <c r="AY115" s="130">
        <f t="shared" si="122"/>
        <v>0</v>
      </c>
      <c r="BA115" s="82">
        <f t="shared" si="59"/>
        <v>0</v>
      </c>
      <c r="BB115" s="67"/>
      <c r="BC115" s="67"/>
      <c r="BD115" s="67"/>
    </row>
    <row r="116" spans="1:56" s="340" customFormat="1" x14ac:dyDescent="0.2">
      <c r="A116" s="551"/>
      <c r="B116" s="551"/>
      <c r="C116" s="495"/>
      <c r="D116" s="273">
        <v>675.7</v>
      </c>
      <c r="E116" s="94"/>
      <c r="F116" s="97" t="s">
        <v>492</v>
      </c>
      <c r="G116" s="55"/>
      <c r="H116" s="131">
        <v>13</v>
      </c>
      <c r="I116" s="97"/>
      <c r="J116" s="550">
        <v>460850</v>
      </c>
      <c r="K116" s="267"/>
      <c r="L116" s="130">
        <f t="shared" si="105"/>
        <v>415410.19</v>
      </c>
      <c r="M116" s="94"/>
      <c r="N116" s="130">
        <f t="shared" si="106"/>
        <v>31706.48</v>
      </c>
      <c r="O116" s="94"/>
      <c r="P116" s="130">
        <f t="shared" si="107"/>
        <v>184.34</v>
      </c>
      <c r="Q116" s="94"/>
      <c r="R116" s="130">
        <f t="shared" si="108"/>
        <v>2765.1</v>
      </c>
      <c r="S116" s="94"/>
      <c r="T116" s="130">
        <f t="shared" si="109"/>
        <v>46.085000000000001</v>
      </c>
      <c r="U116" s="94"/>
      <c r="V116" s="130">
        <f t="shared" si="110"/>
        <v>10599.55</v>
      </c>
      <c r="W116" s="94"/>
      <c r="X116" s="130">
        <f t="shared" si="111"/>
        <v>138.255</v>
      </c>
      <c r="Y116" s="94"/>
      <c r="Z116" s="94">
        <f t="shared" si="78"/>
        <v>0</v>
      </c>
      <c r="AC116" s="97" t="s">
        <v>492</v>
      </c>
      <c r="AE116" s="112">
        <f t="shared" si="112"/>
        <v>13</v>
      </c>
      <c r="AG116" s="550">
        <f t="shared" si="113"/>
        <v>460850</v>
      </c>
      <c r="AH116" s="267"/>
      <c r="AI116" s="130">
        <f t="shared" si="114"/>
        <v>0</v>
      </c>
      <c r="AJ116" s="94"/>
      <c r="AK116" s="130">
        <f t="shared" si="115"/>
        <v>0</v>
      </c>
      <c r="AL116" s="94"/>
      <c r="AM116" s="130">
        <f t="shared" si="116"/>
        <v>0</v>
      </c>
      <c r="AN116" s="94"/>
      <c r="AO116" s="130">
        <f t="shared" si="117"/>
        <v>0</v>
      </c>
      <c r="AP116" s="94"/>
      <c r="AQ116" s="130">
        <f t="shared" si="118"/>
        <v>0</v>
      </c>
      <c r="AR116" s="94"/>
      <c r="AS116" s="130">
        <f t="shared" si="119"/>
        <v>450112.19500000001</v>
      </c>
      <c r="AT116" s="94"/>
      <c r="AU116" s="130">
        <f t="shared" si="120"/>
        <v>0</v>
      </c>
      <c r="AV116" s="94"/>
      <c r="AW116" s="130">
        <f t="shared" si="121"/>
        <v>10599.55</v>
      </c>
      <c r="AX116" s="94"/>
      <c r="AY116" s="130">
        <f t="shared" si="122"/>
        <v>138.255</v>
      </c>
      <c r="BA116" s="82">
        <f t="shared" si="59"/>
        <v>0</v>
      </c>
      <c r="BB116" s="67"/>
      <c r="BC116" s="67"/>
      <c r="BD116" s="67"/>
    </row>
    <row r="117" spans="1:56" s="340" customFormat="1" x14ac:dyDescent="0.2">
      <c r="A117" s="551"/>
      <c r="B117" s="551"/>
      <c r="C117" s="495"/>
      <c r="D117" s="273">
        <v>675.7</v>
      </c>
      <c r="E117" s="94"/>
      <c r="F117" s="97" t="s">
        <v>493</v>
      </c>
      <c r="G117" s="55"/>
      <c r="H117" s="131">
        <v>13</v>
      </c>
      <c r="I117" s="97"/>
      <c r="J117" s="550">
        <v>139496</v>
      </c>
      <c r="K117" s="267"/>
      <c r="L117" s="130">
        <f t="shared" si="105"/>
        <v>125741.69439999999</v>
      </c>
      <c r="M117" s="94"/>
      <c r="N117" s="130">
        <f t="shared" si="106"/>
        <v>9597.3248000000003</v>
      </c>
      <c r="O117" s="94"/>
      <c r="P117" s="130">
        <f t="shared" si="107"/>
        <v>55.798400000000001</v>
      </c>
      <c r="Q117" s="94"/>
      <c r="R117" s="130">
        <f t="shared" si="108"/>
        <v>836.976</v>
      </c>
      <c r="S117" s="94"/>
      <c r="T117" s="130">
        <f t="shared" si="109"/>
        <v>13.9496</v>
      </c>
      <c r="U117" s="94"/>
      <c r="V117" s="130">
        <f t="shared" si="110"/>
        <v>3208.4079999999999</v>
      </c>
      <c r="W117" s="94"/>
      <c r="X117" s="130">
        <f t="shared" si="111"/>
        <v>41.848799999999997</v>
      </c>
      <c r="Y117" s="94"/>
      <c r="Z117" s="94">
        <f t="shared" si="78"/>
        <v>0</v>
      </c>
      <c r="AC117" s="97" t="s">
        <v>493</v>
      </c>
      <c r="AE117" s="112">
        <f t="shared" si="112"/>
        <v>13</v>
      </c>
      <c r="AG117" s="550">
        <f t="shared" si="113"/>
        <v>139496</v>
      </c>
      <c r="AH117" s="267"/>
      <c r="AI117" s="130">
        <f t="shared" si="114"/>
        <v>0</v>
      </c>
      <c r="AJ117" s="94"/>
      <c r="AK117" s="130">
        <f t="shared" si="115"/>
        <v>0</v>
      </c>
      <c r="AL117" s="94"/>
      <c r="AM117" s="130">
        <f t="shared" si="116"/>
        <v>0</v>
      </c>
      <c r="AN117" s="94"/>
      <c r="AO117" s="130">
        <f t="shared" si="117"/>
        <v>0</v>
      </c>
      <c r="AP117" s="94"/>
      <c r="AQ117" s="130">
        <f t="shared" si="118"/>
        <v>0</v>
      </c>
      <c r="AR117" s="94"/>
      <c r="AS117" s="130">
        <f t="shared" si="119"/>
        <v>136245.7432</v>
      </c>
      <c r="AT117" s="94"/>
      <c r="AU117" s="130">
        <f t="shared" si="120"/>
        <v>0</v>
      </c>
      <c r="AV117" s="94"/>
      <c r="AW117" s="130">
        <f t="shared" si="121"/>
        <v>3208.4079999999999</v>
      </c>
      <c r="AX117" s="94"/>
      <c r="AY117" s="130">
        <f t="shared" si="122"/>
        <v>41.848799999999997</v>
      </c>
      <c r="BA117" s="82">
        <f t="shared" si="59"/>
        <v>0</v>
      </c>
      <c r="BB117" s="67"/>
      <c r="BC117" s="67"/>
      <c r="BD117" s="67"/>
    </row>
    <row r="118" spans="1:56" s="340" customFormat="1" x14ac:dyDescent="0.2">
      <c r="A118" s="551"/>
      <c r="B118" s="551"/>
      <c r="C118" s="516"/>
      <c r="D118" s="273">
        <v>675.7</v>
      </c>
      <c r="E118" s="94"/>
      <c r="F118" s="97" t="s">
        <v>494</v>
      </c>
      <c r="G118" s="55"/>
      <c r="H118" s="131">
        <v>13</v>
      </c>
      <c r="I118" s="97"/>
      <c r="J118" s="550">
        <v>585592</v>
      </c>
      <c r="K118" s="267"/>
      <c r="L118" s="130">
        <f t="shared" si="105"/>
        <v>527852.62879999995</v>
      </c>
      <c r="M118" s="94"/>
      <c r="N118" s="130">
        <f t="shared" si="106"/>
        <v>40288.729599999999</v>
      </c>
      <c r="O118" s="94"/>
      <c r="P118" s="130">
        <f t="shared" si="107"/>
        <v>234.23680000000002</v>
      </c>
      <c r="Q118" s="94"/>
      <c r="R118" s="130">
        <f t="shared" si="108"/>
        <v>3513.5520000000001</v>
      </c>
      <c r="S118" s="94"/>
      <c r="T118" s="130">
        <f t="shared" si="109"/>
        <v>58.559200000000004</v>
      </c>
      <c r="U118" s="94"/>
      <c r="V118" s="130">
        <f t="shared" si="110"/>
        <v>13468.616</v>
      </c>
      <c r="W118" s="94"/>
      <c r="X118" s="130">
        <f t="shared" si="111"/>
        <v>175.67759999999998</v>
      </c>
      <c r="Y118" s="94"/>
      <c r="Z118" s="94">
        <f t="shared" si="78"/>
        <v>0</v>
      </c>
      <c r="AC118" s="97" t="s">
        <v>494</v>
      </c>
      <c r="AE118" s="112">
        <f t="shared" si="112"/>
        <v>13</v>
      </c>
      <c r="AG118" s="550">
        <f t="shared" si="113"/>
        <v>585592</v>
      </c>
      <c r="AH118" s="267"/>
      <c r="AI118" s="130">
        <f t="shared" si="114"/>
        <v>0</v>
      </c>
      <c r="AJ118" s="94"/>
      <c r="AK118" s="130">
        <f t="shared" si="115"/>
        <v>0</v>
      </c>
      <c r="AL118" s="94"/>
      <c r="AM118" s="130">
        <f t="shared" si="116"/>
        <v>0</v>
      </c>
      <c r="AN118" s="94"/>
      <c r="AO118" s="130">
        <f t="shared" si="117"/>
        <v>0</v>
      </c>
      <c r="AP118" s="94"/>
      <c r="AQ118" s="130">
        <f t="shared" si="118"/>
        <v>0</v>
      </c>
      <c r="AR118" s="94"/>
      <c r="AS118" s="130">
        <f t="shared" si="119"/>
        <v>571947.70640000002</v>
      </c>
      <c r="AT118" s="94"/>
      <c r="AU118" s="130">
        <f t="shared" si="120"/>
        <v>0</v>
      </c>
      <c r="AV118" s="94"/>
      <c r="AW118" s="130">
        <f t="shared" si="121"/>
        <v>13468.616</v>
      </c>
      <c r="AX118" s="94"/>
      <c r="AY118" s="130">
        <f t="shared" si="122"/>
        <v>175.67759999999998</v>
      </c>
      <c r="BA118" s="82">
        <f t="shared" si="59"/>
        <v>0</v>
      </c>
      <c r="BB118" s="67"/>
      <c r="BC118" s="67"/>
      <c r="BD118" s="67"/>
    </row>
    <row r="119" spans="1:56" s="340" customFormat="1" x14ac:dyDescent="0.2">
      <c r="A119" s="551"/>
      <c r="B119" s="551"/>
      <c r="C119" s="516"/>
      <c r="D119" s="273">
        <v>675.7</v>
      </c>
      <c r="E119" s="94"/>
      <c r="F119" s="97" t="s">
        <v>527</v>
      </c>
      <c r="G119" s="55"/>
      <c r="H119" s="131">
        <v>13</v>
      </c>
      <c r="I119" s="97"/>
      <c r="J119" s="550">
        <v>29208</v>
      </c>
      <c r="K119" s="267"/>
      <c r="L119" s="130">
        <f t="shared" si="105"/>
        <v>26328.091199999999</v>
      </c>
      <c r="M119" s="94"/>
      <c r="N119" s="130">
        <f t="shared" si="106"/>
        <v>2009.5103999999999</v>
      </c>
      <c r="O119" s="94"/>
      <c r="P119" s="130">
        <f t="shared" si="107"/>
        <v>11.683200000000001</v>
      </c>
      <c r="Q119" s="94"/>
      <c r="R119" s="130">
        <f t="shared" si="108"/>
        <v>175.24799999999999</v>
      </c>
      <c r="S119" s="94"/>
      <c r="T119" s="130">
        <f t="shared" si="109"/>
        <v>2.9208000000000003</v>
      </c>
      <c r="U119" s="94"/>
      <c r="V119" s="130">
        <f t="shared" si="110"/>
        <v>671.78399999999999</v>
      </c>
      <c r="W119" s="94"/>
      <c r="X119" s="130">
        <f t="shared" si="111"/>
        <v>8.7623999999999995</v>
      </c>
      <c r="Y119" s="94"/>
      <c r="Z119" s="94">
        <f t="shared" si="78"/>
        <v>0</v>
      </c>
      <c r="AC119" s="97" t="s">
        <v>527</v>
      </c>
      <c r="AE119" s="112">
        <f t="shared" si="112"/>
        <v>13</v>
      </c>
      <c r="AG119" s="550">
        <f t="shared" si="113"/>
        <v>29208</v>
      </c>
      <c r="AH119" s="267"/>
      <c r="AI119" s="130">
        <f t="shared" si="114"/>
        <v>0</v>
      </c>
      <c r="AJ119" s="94"/>
      <c r="AK119" s="130">
        <f t="shared" si="115"/>
        <v>0</v>
      </c>
      <c r="AL119" s="94"/>
      <c r="AM119" s="130">
        <f t="shared" si="116"/>
        <v>0</v>
      </c>
      <c r="AN119" s="94"/>
      <c r="AO119" s="130">
        <f t="shared" si="117"/>
        <v>0</v>
      </c>
      <c r="AP119" s="94"/>
      <c r="AQ119" s="130">
        <f t="shared" si="118"/>
        <v>0</v>
      </c>
      <c r="AR119" s="94"/>
      <c r="AS119" s="130">
        <f t="shared" si="119"/>
        <v>28527.453600000001</v>
      </c>
      <c r="AT119" s="94"/>
      <c r="AU119" s="130">
        <f t="shared" si="120"/>
        <v>0</v>
      </c>
      <c r="AV119" s="94"/>
      <c r="AW119" s="130">
        <f t="shared" si="121"/>
        <v>671.78399999999999</v>
      </c>
      <c r="AX119" s="94"/>
      <c r="AY119" s="130">
        <f t="shared" si="122"/>
        <v>8.7623999999999995</v>
      </c>
      <c r="BA119" s="82">
        <f t="shared" si="59"/>
        <v>0</v>
      </c>
      <c r="BB119" s="67"/>
      <c r="BC119" s="67"/>
      <c r="BD119" s="67"/>
    </row>
    <row r="120" spans="1:56" s="340" customFormat="1" x14ac:dyDescent="0.2">
      <c r="A120" s="551"/>
      <c r="B120" s="551"/>
      <c r="C120" s="516"/>
      <c r="D120" s="273">
        <v>675.7</v>
      </c>
      <c r="E120" s="94"/>
      <c r="F120" s="97" t="s">
        <v>543</v>
      </c>
      <c r="G120" s="55"/>
      <c r="H120" s="131">
        <v>13</v>
      </c>
      <c r="I120" s="97"/>
      <c r="J120" s="553">
        <v>2653</v>
      </c>
      <c r="K120" s="267"/>
      <c r="L120" s="506">
        <f t="shared" si="105"/>
        <v>2391.4142000000002</v>
      </c>
      <c r="M120" s="267"/>
      <c r="N120" s="506">
        <f t="shared" si="106"/>
        <v>182.5264</v>
      </c>
      <c r="O120" s="267"/>
      <c r="P120" s="506">
        <f t="shared" si="107"/>
        <v>1.0612000000000001</v>
      </c>
      <c r="Q120" s="267"/>
      <c r="R120" s="506">
        <f t="shared" si="108"/>
        <v>15.918000000000001</v>
      </c>
      <c r="S120" s="267"/>
      <c r="T120" s="506">
        <f t="shared" si="109"/>
        <v>0.26530000000000004</v>
      </c>
      <c r="U120" s="267"/>
      <c r="V120" s="506">
        <f t="shared" si="110"/>
        <v>61.018999999999998</v>
      </c>
      <c r="W120" s="267"/>
      <c r="X120" s="506">
        <f t="shared" si="111"/>
        <v>0.79589999999999994</v>
      </c>
      <c r="Y120" s="94"/>
      <c r="Z120" s="94">
        <f t="shared" si="78"/>
        <v>0</v>
      </c>
      <c r="AC120" s="97" t="s">
        <v>543</v>
      </c>
      <c r="AE120" s="112">
        <f t="shared" si="112"/>
        <v>13</v>
      </c>
      <c r="AG120" s="553">
        <f t="shared" si="113"/>
        <v>2653</v>
      </c>
      <c r="AH120" s="267"/>
      <c r="AI120" s="506">
        <f t="shared" si="114"/>
        <v>0</v>
      </c>
      <c r="AJ120" s="267"/>
      <c r="AK120" s="506">
        <f t="shared" si="115"/>
        <v>0</v>
      </c>
      <c r="AL120" s="267"/>
      <c r="AM120" s="506">
        <f t="shared" si="116"/>
        <v>0</v>
      </c>
      <c r="AN120" s="267"/>
      <c r="AO120" s="506">
        <f t="shared" si="117"/>
        <v>0</v>
      </c>
      <c r="AP120" s="267"/>
      <c r="AQ120" s="506">
        <f t="shared" si="118"/>
        <v>0</v>
      </c>
      <c r="AR120" s="267"/>
      <c r="AS120" s="506">
        <f t="shared" si="119"/>
        <v>2591.1851000000001</v>
      </c>
      <c r="AT120" s="267"/>
      <c r="AU120" s="506">
        <f t="shared" si="120"/>
        <v>0</v>
      </c>
      <c r="AV120" s="267"/>
      <c r="AW120" s="506">
        <f t="shared" si="121"/>
        <v>61.018999999999998</v>
      </c>
      <c r="AX120" s="267"/>
      <c r="AY120" s="506">
        <f t="shared" si="122"/>
        <v>0.79589999999999994</v>
      </c>
      <c r="BA120" s="82">
        <f t="shared" si="59"/>
        <v>0</v>
      </c>
      <c r="BB120" s="67"/>
      <c r="BC120" s="67"/>
      <c r="BD120" s="67"/>
    </row>
    <row r="121" spans="1:56" s="340" customFormat="1" x14ac:dyDescent="0.2">
      <c r="A121" s="551"/>
      <c r="B121" s="551"/>
      <c r="C121" s="516"/>
      <c r="D121" s="273"/>
      <c r="E121" s="94"/>
      <c r="F121" s="97"/>
      <c r="G121" s="55"/>
      <c r="H121" s="131"/>
      <c r="I121" s="97"/>
      <c r="J121" s="550"/>
      <c r="K121" s="130"/>
      <c r="L121" s="550"/>
      <c r="M121" s="130"/>
      <c r="N121" s="550"/>
      <c r="O121" s="130"/>
      <c r="P121" s="550"/>
      <c r="Q121" s="130"/>
      <c r="R121" s="550"/>
      <c r="S121" s="130"/>
      <c r="T121" s="550"/>
      <c r="U121" s="130"/>
      <c r="V121" s="550"/>
      <c r="W121" s="130"/>
      <c r="X121" s="550"/>
      <c r="Z121" s="94">
        <f t="shared" si="78"/>
        <v>0</v>
      </c>
      <c r="AC121" s="97"/>
      <c r="AG121" s="550"/>
      <c r="AH121" s="130"/>
      <c r="AI121" s="550"/>
      <c r="AJ121" s="130"/>
      <c r="AK121" s="550"/>
      <c r="AL121" s="130"/>
      <c r="AM121" s="550"/>
      <c r="AN121" s="130"/>
      <c r="AO121" s="550"/>
      <c r="AP121" s="130"/>
      <c r="AQ121" s="550"/>
      <c r="AR121" s="130"/>
      <c r="AS121" s="550"/>
      <c r="AT121" s="130"/>
      <c r="AU121" s="550"/>
      <c r="AV121" s="130"/>
      <c r="AW121" s="550"/>
      <c r="AX121" s="130"/>
      <c r="AY121" s="550"/>
      <c r="BA121" s="82">
        <f t="shared" si="59"/>
        <v>0</v>
      </c>
      <c r="BB121" s="67"/>
      <c r="BC121" s="67"/>
      <c r="BD121" s="67"/>
    </row>
    <row r="122" spans="1:56" s="340" customFormat="1" x14ac:dyDescent="0.2">
      <c r="A122" s="551"/>
      <c r="B122" s="551"/>
      <c r="C122" s="516"/>
      <c r="D122" s="273"/>
      <c r="E122" s="94"/>
      <c r="F122" s="97" t="s">
        <v>46</v>
      </c>
      <c r="G122" s="55"/>
      <c r="H122" s="131"/>
      <c r="I122" s="97"/>
      <c r="J122" s="550">
        <f>SUM(J107:J121)</f>
        <v>3344505.9139641235</v>
      </c>
      <c r="K122" s="130"/>
      <c r="L122" s="550">
        <f>SUM(L107:L121)</f>
        <v>3000623.6558899195</v>
      </c>
      <c r="M122" s="130"/>
      <c r="N122" s="550">
        <f>SUM(N107:N121)</f>
        <v>253104.18730603869</v>
      </c>
      <c r="O122" s="130"/>
      <c r="P122" s="550">
        <f>SUM(P107:P121)</f>
        <v>943.02967236755433</v>
      </c>
      <c r="Q122" s="130"/>
      <c r="R122" s="550">
        <f>SUM(R107:R121)</f>
        <v>14244.138258817839</v>
      </c>
      <c r="S122" s="130"/>
      <c r="T122" s="550">
        <f>SUM(T107:T121)</f>
        <v>235.75741809188858</v>
      </c>
      <c r="U122" s="130"/>
      <c r="V122" s="550">
        <f>SUM(V107:V121)</f>
        <v>74799.248447245831</v>
      </c>
      <c r="W122" s="130"/>
      <c r="X122" s="550">
        <f>SUM(X107:X121)</f>
        <v>555.89697164240943</v>
      </c>
      <c r="Z122" s="94">
        <f t="shared" si="78"/>
        <v>0</v>
      </c>
      <c r="AC122" s="97" t="s">
        <v>46</v>
      </c>
      <c r="AD122" s="55"/>
      <c r="AE122" s="131"/>
      <c r="AF122" s="97"/>
      <c r="AG122" s="550">
        <f>SUM(AG107:AG121)</f>
        <v>3344505.9139641235</v>
      </c>
      <c r="AH122" s="130"/>
      <c r="AI122" s="550">
        <f>SUM(AI107:AI121)</f>
        <v>0</v>
      </c>
      <c r="AJ122" s="130"/>
      <c r="AK122" s="550">
        <f>SUM(AK107:AK121)</f>
        <v>0</v>
      </c>
      <c r="AL122" s="130"/>
      <c r="AM122" s="550">
        <f>SUM(AM107:AM121)</f>
        <v>0</v>
      </c>
      <c r="AN122" s="130"/>
      <c r="AO122" s="550">
        <f>SUM(AO107:AO121)</f>
        <v>0</v>
      </c>
      <c r="AP122" s="130"/>
      <c r="AQ122" s="550">
        <f>SUM(AQ107:AQ121)</f>
        <v>0</v>
      </c>
      <c r="AR122" s="130"/>
      <c r="AS122" s="550">
        <f>SUM(AS107:AS121)</f>
        <v>2314399.5161213251</v>
      </c>
      <c r="AT122" s="130"/>
      <c r="AU122" s="550">
        <f>SUM(AU107:AU121)</f>
        <v>986931.7330452376</v>
      </c>
      <c r="AV122" s="130"/>
      <c r="AW122" s="550">
        <f t="shared" ref="AW122" si="123">SUM(AW107:AW121)</f>
        <v>42618.767825918061</v>
      </c>
      <c r="AX122" s="130"/>
      <c r="AY122" s="550">
        <f t="shared" ref="AY122" si="124">SUM(AY107:AY121)</f>
        <v>555.89697164240943</v>
      </c>
      <c r="BA122" s="82">
        <f t="shared" si="59"/>
        <v>0</v>
      </c>
      <c r="BB122" s="67"/>
      <c r="BC122" s="67"/>
      <c r="BD122" s="67"/>
    </row>
    <row r="123" spans="1:56" s="340" customFormat="1" x14ac:dyDescent="0.2">
      <c r="A123" s="551"/>
      <c r="B123" s="551"/>
      <c r="C123" s="516"/>
      <c r="D123" s="273"/>
      <c r="E123" s="94"/>
      <c r="F123" s="97" t="s">
        <v>47</v>
      </c>
      <c r="G123" s="55"/>
      <c r="H123" s="131"/>
      <c r="I123" s="97"/>
      <c r="J123" s="550"/>
      <c r="K123" s="267"/>
      <c r="L123" s="267"/>
      <c r="M123" s="265"/>
      <c r="N123" s="267"/>
      <c r="O123" s="265"/>
      <c r="P123" s="267"/>
      <c r="Q123" s="265"/>
      <c r="R123" s="267"/>
      <c r="S123" s="265"/>
      <c r="T123" s="267"/>
      <c r="U123" s="265"/>
      <c r="V123" s="267"/>
      <c r="W123" s="265"/>
      <c r="X123" s="267"/>
      <c r="Z123" s="94">
        <f t="shared" si="78"/>
        <v>0</v>
      </c>
      <c r="AC123" s="97" t="s">
        <v>47</v>
      </c>
      <c r="AD123" s="55"/>
      <c r="AE123" s="131"/>
      <c r="AF123" s="97"/>
      <c r="AG123" s="550"/>
      <c r="AH123" s="267"/>
      <c r="AI123" s="267"/>
      <c r="AJ123" s="265"/>
      <c r="AK123" s="267"/>
      <c r="AL123" s="265"/>
      <c r="AM123" s="267"/>
      <c r="AN123" s="265"/>
      <c r="AO123" s="267"/>
      <c r="AP123" s="265"/>
      <c r="AQ123" s="267"/>
      <c r="AR123" s="265"/>
      <c r="AS123" s="267"/>
      <c r="AT123" s="265"/>
      <c r="AU123" s="267"/>
      <c r="AV123" s="265"/>
      <c r="AW123" s="267"/>
      <c r="AX123" s="265"/>
      <c r="AY123" s="267"/>
      <c r="BA123" s="82">
        <f t="shared" si="59"/>
        <v>0</v>
      </c>
      <c r="BB123" s="67"/>
      <c r="BC123" s="67"/>
      <c r="BD123" s="67"/>
    </row>
    <row r="124" spans="1:56" s="340" customFormat="1" x14ac:dyDescent="0.2">
      <c r="A124" s="551"/>
      <c r="B124" s="551"/>
      <c r="C124" s="516"/>
      <c r="D124" s="273"/>
      <c r="E124" s="94"/>
      <c r="F124" s="97"/>
      <c r="G124" s="55"/>
      <c r="H124" s="131"/>
      <c r="I124" s="97"/>
      <c r="J124" s="550"/>
      <c r="K124" s="267"/>
      <c r="L124" s="267"/>
      <c r="M124" s="265"/>
      <c r="N124" s="267"/>
      <c r="O124" s="265"/>
      <c r="P124" s="267"/>
      <c r="Q124" s="265"/>
      <c r="R124" s="267"/>
      <c r="S124" s="265"/>
      <c r="T124" s="267"/>
      <c r="U124" s="265"/>
      <c r="V124" s="267"/>
      <c r="W124" s="265"/>
      <c r="X124" s="267"/>
      <c r="Z124" s="94">
        <f t="shared" si="78"/>
        <v>0</v>
      </c>
      <c r="AC124" s="97"/>
      <c r="AE124" s="112"/>
      <c r="AG124" s="550"/>
      <c r="AH124" s="267"/>
      <c r="AI124" s="267"/>
      <c r="AJ124" s="265"/>
      <c r="AK124" s="267"/>
      <c r="AL124" s="265"/>
      <c r="AM124" s="267"/>
      <c r="AN124" s="265"/>
      <c r="AO124" s="267"/>
      <c r="AP124" s="265"/>
      <c r="AQ124" s="267"/>
      <c r="AR124" s="265"/>
      <c r="AS124" s="267"/>
      <c r="AT124" s="265"/>
      <c r="AU124" s="267"/>
      <c r="AV124" s="267"/>
      <c r="AW124" s="267"/>
      <c r="AX124" s="267"/>
      <c r="AY124" s="267"/>
      <c r="BA124" s="82">
        <f t="shared" si="59"/>
        <v>0</v>
      </c>
      <c r="BB124" s="67"/>
      <c r="BC124" s="67"/>
      <c r="BD124" s="67"/>
    </row>
    <row r="125" spans="1:56" s="340" customFormat="1" x14ac:dyDescent="0.2">
      <c r="A125" s="551"/>
      <c r="B125" s="551"/>
      <c r="C125" s="516"/>
      <c r="D125" s="273"/>
      <c r="E125" s="94"/>
      <c r="F125" s="219" t="s">
        <v>352</v>
      </c>
      <c r="G125" s="55"/>
      <c r="H125" s="131"/>
      <c r="I125" s="97"/>
      <c r="J125" s="550"/>
      <c r="K125" s="267"/>
      <c r="L125" s="267"/>
      <c r="M125" s="265"/>
      <c r="N125" s="267"/>
      <c r="O125" s="265"/>
      <c r="P125" s="267"/>
      <c r="Q125" s="265"/>
      <c r="R125" s="267"/>
      <c r="S125" s="265"/>
      <c r="T125" s="267"/>
      <c r="U125" s="265"/>
      <c r="V125" s="267"/>
      <c r="W125" s="265"/>
      <c r="X125" s="267"/>
      <c r="Z125" s="94">
        <f t="shared" si="78"/>
        <v>0</v>
      </c>
      <c r="AC125" s="97" t="s">
        <v>352</v>
      </c>
      <c r="AE125" s="112"/>
      <c r="AG125" s="550"/>
      <c r="AH125" s="267"/>
      <c r="AI125" s="267"/>
      <c r="AJ125" s="265"/>
      <c r="AK125" s="267"/>
      <c r="AL125" s="265"/>
      <c r="AM125" s="267"/>
      <c r="AN125" s="265"/>
      <c r="AO125" s="267"/>
      <c r="AP125" s="265"/>
      <c r="AQ125" s="267"/>
      <c r="AR125" s="265"/>
      <c r="AS125" s="267"/>
      <c r="AT125" s="265"/>
      <c r="AU125" s="267"/>
      <c r="AV125" s="267"/>
      <c r="AW125" s="267"/>
      <c r="AX125" s="267"/>
      <c r="AY125" s="267"/>
      <c r="BA125" s="82">
        <f t="shared" si="59"/>
        <v>0</v>
      </c>
      <c r="BB125" s="67"/>
      <c r="BC125" s="67"/>
      <c r="BD125" s="67"/>
    </row>
    <row r="126" spans="1:56" s="340" customFormat="1" x14ac:dyDescent="0.2">
      <c r="A126" s="551"/>
      <c r="B126" s="551"/>
      <c r="C126" s="516"/>
      <c r="D126" s="273"/>
      <c r="E126" s="94"/>
      <c r="F126" s="97" t="s">
        <v>39</v>
      </c>
      <c r="G126" s="55"/>
      <c r="H126" s="131"/>
      <c r="I126" s="97"/>
      <c r="J126" s="550"/>
      <c r="K126" s="267"/>
      <c r="L126" s="267"/>
      <c r="M126" s="265"/>
      <c r="N126" s="267"/>
      <c r="O126" s="265"/>
      <c r="P126" s="267"/>
      <c r="Q126" s="265"/>
      <c r="R126" s="267"/>
      <c r="S126" s="265"/>
      <c r="T126" s="267"/>
      <c r="U126" s="265"/>
      <c r="V126" s="267"/>
      <c r="W126" s="265"/>
      <c r="X126" s="267"/>
      <c r="Z126" s="94">
        <f t="shared" si="78"/>
        <v>0</v>
      </c>
      <c r="AC126" s="97" t="s">
        <v>39</v>
      </c>
      <c r="AG126" s="550"/>
      <c r="AH126" s="267"/>
      <c r="AI126" s="267"/>
      <c r="AJ126" s="265"/>
      <c r="AK126" s="267"/>
      <c r="AL126" s="265"/>
      <c r="AM126" s="267"/>
      <c r="AN126" s="265"/>
      <c r="AO126" s="267"/>
      <c r="AP126" s="265"/>
      <c r="AQ126" s="267"/>
      <c r="AR126" s="265"/>
      <c r="AS126" s="267"/>
      <c r="AT126" s="265"/>
      <c r="AU126" s="267"/>
      <c r="AV126" s="265"/>
      <c r="AW126" s="267"/>
      <c r="AX126" s="265"/>
      <c r="AY126" s="267"/>
      <c r="BA126" s="82">
        <f t="shared" si="59"/>
        <v>0</v>
      </c>
      <c r="BB126" s="67"/>
      <c r="BC126" s="67"/>
      <c r="BD126" s="67"/>
    </row>
    <row r="127" spans="1:56" s="340" customFormat="1" x14ac:dyDescent="0.2">
      <c r="A127" s="551"/>
      <c r="B127" s="551"/>
      <c r="C127" s="516"/>
      <c r="D127" s="273">
        <v>601.79999999999995</v>
      </c>
      <c r="E127" s="94"/>
      <c r="F127" s="223" t="s">
        <v>599</v>
      </c>
      <c r="G127" s="418"/>
      <c r="H127" s="224">
        <v>15</v>
      </c>
      <c r="I127" s="223"/>
      <c r="J127" s="550">
        <v>-919508.802338982</v>
      </c>
      <c r="K127" s="267"/>
      <c r="L127" s="130">
        <f>(VLOOKUP($H127,Factors,L$378))*$J127</f>
        <v>-591887.8160656027</v>
      </c>
      <c r="M127" s="94"/>
      <c r="N127" s="130">
        <f>(VLOOKUP($H127,Factors,N$378))*$J127</f>
        <v>-194935.86609586418</v>
      </c>
      <c r="O127" s="94"/>
      <c r="P127" s="130">
        <f>(VLOOKUP($H127,Factors,P$378))*$J127</f>
        <v>-21792.358615433874</v>
      </c>
      <c r="Q127" s="94"/>
      <c r="R127" s="130">
        <f>(VLOOKUP($H127,Factors,R$378))*$J127</f>
        <v>-47078.85067975588</v>
      </c>
      <c r="S127" s="94"/>
      <c r="T127" s="130">
        <f>(VLOOKUP($H127,Factors,T$378))*$J127</f>
        <v>-14528.239076955917</v>
      </c>
      <c r="U127" s="94"/>
      <c r="V127" s="130">
        <f>(VLOOKUP($H127,Factors,V$378))*$J127</f>
        <v>-25838.197345725395</v>
      </c>
      <c r="W127" s="94"/>
      <c r="X127" s="130">
        <f>(VLOOKUP($H127,Factors,X$378))*$J127</f>
        <v>-23447.47445964404</v>
      </c>
      <c r="Y127" s="94"/>
      <c r="Z127" s="94">
        <f t="shared" si="78"/>
        <v>0</v>
      </c>
      <c r="AC127" s="97" t="s">
        <v>425</v>
      </c>
      <c r="AE127" s="112">
        <f t="shared" ref="AE127:AE159" si="125">+H127</f>
        <v>15</v>
      </c>
      <c r="AG127" s="550">
        <f t="shared" ref="AG127:AG159" si="126">+J127</f>
        <v>-919508.802338982</v>
      </c>
      <c r="AH127" s="267"/>
      <c r="AI127" s="130">
        <f>(VLOOKUP($AE127,func,AI$378))*$AG127</f>
        <v>-246428.3590268472</v>
      </c>
      <c r="AJ127" s="94"/>
      <c r="AK127" s="130">
        <f>(VLOOKUP($AE127,func,AK$378))*$AG127</f>
        <v>-147121.40837423713</v>
      </c>
      <c r="AL127" s="94"/>
      <c r="AM127" s="130">
        <f>(VLOOKUP($AE127,func,AM$378))*$AG127</f>
        <v>-77698.493797643983</v>
      </c>
      <c r="AN127" s="94"/>
      <c r="AO127" s="130">
        <f>(VLOOKUP($AE127,func,AO$378))*$AG127</f>
        <v>-157603.80872090152</v>
      </c>
      <c r="AP127" s="94"/>
      <c r="AQ127" s="130">
        <f>(VLOOKUP($AE127,func,AQ$378))*$AG127</f>
        <v>-29884.036076016917</v>
      </c>
      <c r="AR127" s="94"/>
      <c r="AS127" s="130">
        <f>(VLOOKUP($AE127,func,AS$378))*$AG127</f>
        <v>-149696.03302078627</v>
      </c>
      <c r="AT127" s="94"/>
      <c r="AU127" s="130">
        <f>(VLOOKUP($AE127,func,AU$378))*$AG127</f>
        <v>-63813.910882325355</v>
      </c>
      <c r="AV127" s="130"/>
      <c r="AW127" s="130">
        <f>(VLOOKUP($AE127,func,AW$378))*$AG127</f>
        <v>-23815.277980579634</v>
      </c>
      <c r="AX127" s="130"/>
      <c r="AY127" s="130">
        <f>(VLOOKUP($AE127,func,AY$378))*$AG127</f>
        <v>-23447.47445964404</v>
      </c>
      <c r="BA127" s="82">
        <f t="shared" si="59"/>
        <v>0</v>
      </c>
      <c r="BB127" s="67"/>
      <c r="BC127" s="67"/>
      <c r="BD127" s="67"/>
    </row>
    <row r="128" spans="1:56" s="340" customFormat="1" x14ac:dyDescent="0.2">
      <c r="A128" s="551"/>
      <c r="B128" s="551"/>
      <c r="C128" s="516"/>
      <c r="D128" s="273"/>
      <c r="E128" s="94"/>
      <c r="F128" s="223"/>
      <c r="G128" s="418"/>
      <c r="H128" s="224"/>
      <c r="I128" s="223"/>
      <c r="J128" s="550"/>
      <c r="K128" s="267"/>
      <c r="L128" s="130"/>
      <c r="M128" s="94"/>
      <c r="N128" s="130"/>
      <c r="O128" s="94"/>
      <c r="P128" s="130"/>
      <c r="Q128" s="94"/>
      <c r="R128" s="130"/>
      <c r="S128" s="94"/>
      <c r="T128" s="130"/>
      <c r="U128" s="94"/>
      <c r="V128" s="130"/>
      <c r="W128" s="94"/>
      <c r="X128" s="130"/>
      <c r="Y128" s="94"/>
      <c r="Z128" s="94">
        <f t="shared" si="78"/>
        <v>0</v>
      </c>
      <c r="AC128" s="97"/>
      <c r="AE128" s="112"/>
      <c r="AG128" s="550"/>
      <c r="AH128" s="267"/>
      <c r="AI128" s="130"/>
      <c r="AJ128" s="94"/>
      <c r="AK128" s="130"/>
      <c r="AL128" s="94"/>
      <c r="AM128" s="130"/>
      <c r="AN128" s="94"/>
      <c r="AO128" s="130"/>
      <c r="AP128" s="94"/>
      <c r="AQ128" s="130"/>
      <c r="AR128" s="94"/>
      <c r="AS128" s="130"/>
      <c r="AT128" s="94"/>
      <c r="AU128" s="130"/>
      <c r="AV128" s="130"/>
      <c r="AW128" s="130"/>
      <c r="AX128" s="130"/>
      <c r="AY128" s="130"/>
      <c r="BA128" s="82"/>
      <c r="BB128" s="67"/>
      <c r="BC128" s="67"/>
      <c r="BD128" s="67"/>
    </row>
    <row r="129" spans="1:56" s="340" customFormat="1" x14ac:dyDescent="0.2">
      <c r="A129" s="551"/>
      <c r="B129" s="551"/>
      <c r="C129" s="516"/>
      <c r="D129" s="273">
        <v>615.79999999999995</v>
      </c>
      <c r="E129" s="94"/>
      <c r="F129" s="223" t="s">
        <v>418</v>
      </c>
      <c r="G129" s="418"/>
      <c r="H129" s="224">
        <v>15</v>
      </c>
      <c r="I129" s="223"/>
      <c r="J129" s="550">
        <v>224011.15874495916</v>
      </c>
      <c r="K129" s="267"/>
      <c r="L129" s="130">
        <f>(VLOOKUP($H129,Factors,L$378))*$J129</f>
        <v>144195.98288413024</v>
      </c>
      <c r="M129" s="94"/>
      <c r="N129" s="130">
        <f>(VLOOKUP($H129,Factors,N$378))*$J129</f>
        <v>47490.365653931338</v>
      </c>
      <c r="O129" s="94"/>
      <c r="P129" s="130">
        <f>(VLOOKUP($H129,Factors,P$378))*$J129</f>
        <v>5309.0644622555319</v>
      </c>
      <c r="Q129" s="94"/>
      <c r="R129" s="130">
        <f>(VLOOKUP($H129,Factors,R$378))*$J129</f>
        <v>11469.37132774191</v>
      </c>
      <c r="S129" s="94"/>
      <c r="T129" s="130">
        <f>(VLOOKUP($H129,Factors,T$378))*$J129</f>
        <v>3539.3763081703551</v>
      </c>
      <c r="U129" s="94"/>
      <c r="V129" s="130">
        <f>(VLOOKUP($H129,Factors,V$378))*$J129</f>
        <v>6294.7135607333521</v>
      </c>
      <c r="W129" s="94"/>
      <c r="X129" s="130">
        <f>(VLOOKUP($H129,Factors,X$378))*$J129</f>
        <v>5712.2845479964581</v>
      </c>
      <c r="Y129" s="94"/>
      <c r="Z129" s="94">
        <f t="shared" si="78"/>
        <v>0</v>
      </c>
      <c r="AC129" s="223" t="s">
        <v>418</v>
      </c>
      <c r="AE129" s="112">
        <f t="shared" ref="AE129" si="127">+H129</f>
        <v>15</v>
      </c>
      <c r="AG129" s="550">
        <f t="shared" ref="AG129" si="128">+J129</f>
        <v>224011.15874495916</v>
      </c>
      <c r="AH129" s="267"/>
      <c r="AI129" s="130">
        <f>(VLOOKUP($AE129,func,AI$378))*$AG129</f>
        <v>60034.990543649059</v>
      </c>
      <c r="AJ129" s="94"/>
      <c r="AK129" s="130">
        <f>(VLOOKUP($AE129,func,AK$378))*$AG129</f>
        <v>35841.785399193468</v>
      </c>
      <c r="AL129" s="94"/>
      <c r="AM129" s="130">
        <f>(VLOOKUP($AE129,func,AM$378))*$AG129</f>
        <v>18928.942913949049</v>
      </c>
      <c r="AN129" s="94"/>
      <c r="AO129" s="130">
        <f>(VLOOKUP($AE129,func,AO$378))*$AG129</f>
        <v>38395.512608885998</v>
      </c>
      <c r="AP129" s="94"/>
      <c r="AQ129" s="130">
        <f>(VLOOKUP($AE129,func,AQ$378))*$AG129</f>
        <v>7280.3626592111732</v>
      </c>
      <c r="AR129" s="94"/>
      <c r="AS129" s="130">
        <f>(VLOOKUP($AE129,func,AS$378))*$AG129</f>
        <v>36469.016643679352</v>
      </c>
      <c r="AT129" s="94"/>
      <c r="AU129" s="130">
        <f>(VLOOKUP($AE129,func,AU$378))*$AG129</f>
        <v>15546.374416900166</v>
      </c>
      <c r="AV129" s="130"/>
      <c r="AW129" s="130">
        <f>(VLOOKUP($AE129,func,AW$378))*$AG129</f>
        <v>5801.8890114944425</v>
      </c>
      <c r="AX129" s="130"/>
      <c r="AY129" s="130">
        <f>(VLOOKUP($AE129,func,AY$378))*$AG129</f>
        <v>5712.2845479964581</v>
      </c>
      <c r="BA129" s="82">
        <f t="shared" ref="BA129" si="129">SUM(AI129:AY129)-AG129</f>
        <v>0</v>
      </c>
      <c r="BB129" s="67"/>
      <c r="BC129" s="67"/>
      <c r="BD129" s="67"/>
    </row>
    <row r="130" spans="1:56" s="340" customFormat="1" ht="12.75" customHeight="1" x14ac:dyDescent="0.2">
      <c r="A130" s="517"/>
      <c r="B130" s="551"/>
      <c r="C130" s="517"/>
      <c r="D130" s="273">
        <v>620.79999999999995</v>
      </c>
      <c r="E130" s="94"/>
      <c r="F130" s="223" t="s">
        <v>481</v>
      </c>
      <c r="G130" s="418"/>
      <c r="H130" s="224">
        <v>15</v>
      </c>
      <c r="I130" s="223"/>
      <c r="J130" s="550">
        <v>51671</v>
      </c>
      <c r="K130" s="267"/>
      <c r="L130" s="130">
        <f>(VLOOKUP($H130,Factors,L$378))*$J130</f>
        <v>33260.6227</v>
      </c>
      <c r="M130" s="94"/>
      <c r="N130" s="130">
        <f>(VLOOKUP($H130,Factors,N$378))*$J130</f>
        <v>10954.252</v>
      </c>
      <c r="O130" s="94"/>
      <c r="P130" s="130">
        <f>(VLOOKUP($H130,Factors,P$378))*$J130</f>
        <v>1224.6026999999999</v>
      </c>
      <c r="Q130" s="94"/>
      <c r="R130" s="130">
        <f>(VLOOKUP($H130,Factors,R$378))*$J130</f>
        <v>2645.5552000000002</v>
      </c>
      <c r="S130" s="94"/>
      <c r="T130" s="130">
        <f>(VLOOKUP($H130,Factors,T$378))*$J130</f>
        <v>816.40180000000009</v>
      </c>
      <c r="U130" s="94"/>
      <c r="V130" s="130">
        <f>(VLOOKUP($H130,Factors,V$378))*$J130</f>
        <v>1451.9550999999999</v>
      </c>
      <c r="W130" s="94"/>
      <c r="X130" s="130">
        <f>(VLOOKUP($H130,Factors,X$378))*$J130</f>
        <v>1317.6105</v>
      </c>
      <c r="Y130" s="94"/>
      <c r="Z130" s="94">
        <f t="shared" si="78"/>
        <v>0</v>
      </c>
      <c r="AC130" s="97" t="s">
        <v>481</v>
      </c>
      <c r="AE130" s="112">
        <f t="shared" si="125"/>
        <v>15</v>
      </c>
      <c r="AG130" s="550">
        <f t="shared" si="126"/>
        <v>51671</v>
      </c>
      <c r="AH130" s="267"/>
      <c r="AI130" s="130">
        <f>(VLOOKUP($AE130,func,AI$378))*$AG130</f>
        <v>13847.828000000001</v>
      </c>
      <c r="AJ130" s="94"/>
      <c r="AK130" s="130">
        <f>(VLOOKUP($AE130,func,AK$378))*$AG130</f>
        <v>8267.36</v>
      </c>
      <c r="AL130" s="94"/>
      <c r="AM130" s="130">
        <f>(VLOOKUP($AE130,func,AM$378))*$AG130</f>
        <v>4366.1995000000006</v>
      </c>
      <c r="AN130" s="94"/>
      <c r="AO130" s="130">
        <f>(VLOOKUP($AE130,func,AO$378))*$AG130</f>
        <v>8856.4094000000005</v>
      </c>
      <c r="AP130" s="94"/>
      <c r="AQ130" s="130">
        <f>(VLOOKUP($AE130,func,AQ$378))*$AG130</f>
        <v>1679.3075000000001</v>
      </c>
      <c r="AR130" s="94"/>
      <c r="AS130" s="130">
        <f>(VLOOKUP($AE130,func,AS$378))*$AG130</f>
        <v>8412.0388000000003</v>
      </c>
      <c r="AT130" s="94"/>
      <c r="AU130" s="130">
        <f>(VLOOKUP($AE130,func,AU$378))*$AG130</f>
        <v>3585.9674</v>
      </c>
      <c r="AV130" s="130"/>
      <c r="AW130" s="130">
        <f>(VLOOKUP($AE130,func,AW$378))*$AG130</f>
        <v>1338.2789</v>
      </c>
      <c r="AX130" s="130"/>
      <c r="AY130" s="130">
        <f>(VLOOKUP($AE130,func,AY$378))*$AG130</f>
        <v>1317.6105</v>
      </c>
      <c r="BA130" s="82">
        <f t="shared" ref="BA130:BA169" si="130">SUM(AI130:AY130)-AG130</f>
        <v>0</v>
      </c>
      <c r="BB130" s="67"/>
      <c r="BC130" s="67"/>
      <c r="BD130" s="67"/>
    </row>
    <row r="131" spans="1:56" s="340" customFormat="1" x14ac:dyDescent="0.2">
      <c r="A131" s="551"/>
      <c r="B131" s="517"/>
      <c r="C131" s="516"/>
      <c r="D131" s="273"/>
      <c r="E131" s="94"/>
      <c r="F131" s="223" t="s">
        <v>552</v>
      </c>
      <c r="G131" s="418"/>
      <c r="H131" s="224"/>
      <c r="I131" s="223"/>
      <c r="J131" s="550"/>
      <c r="K131" s="267"/>
      <c r="L131" s="130"/>
      <c r="M131" s="94"/>
      <c r="N131" s="130"/>
      <c r="O131" s="94"/>
      <c r="P131" s="130"/>
      <c r="Q131" s="94"/>
      <c r="R131" s="130"/>
      <c r="S131" s="94"/>
      <c r="T131" s="130"/>
      <c r="U131" s="94"/>
      <c r="V131" s="130"/>
      <c r="W131" s="94"/>
      <c r="X131" s="130"/>
      <c r="Y131" s="94"/>
      <c r="Z131" s="94">
        <f t="shared" si="78"/>
        <v>0</v>
      </c>
      <c r="AC131" s="97" t="s">
        <v>426</v>
      </c>
      <c r="AG131" s="550"/>
      <c r="AH131" s="267"/>
      <c r="AI131" s="130"/>
      <c r="AJ131" s="94"/>
      <c r="AK131" s="130"/>
      <c r="AL131" s="94"/>
      <c r="AM131" s="130"/>
      <c r="AN131" s="94"/>
      <c r="AO131" s="130"/>
      <c r="AP131" s="94"/>
      <c r="AQ131" s="130"/>
      <c r="AR131" s="94"/>
      <c r="AS131" s="130"/>
      <c r="AT131" s="94"/>
      <c r="AU131" s="130"/>
      <c r="AV131" s="265"/>
      <c r="AW131" s="267"/>
      <c r="AX131" s="265"/>
      <c r="AY131" s="267"/>
      <c r="BA131" s="82">
        <f t="shared" si="130"/>
        <v>0</v>
      </c>
      <c r="BB131" s="67"/>
      <c r="BC131" s="67"/>
      <c r="BD131" s="67"/>
    </row>
    <row r="132" spans="1:56" s="340" customFormat="1" x14ac:dyDescent="0.2">
      <c r="A132" s="551"/>
      <c r="B132" s="682"/>
      <c r="C132" s="516"/>
      <c r="D132" s="273"/>
      <c r="E132" s="94"/>
      <c r="F132" s="223" t="s">
        <v>48</v>
      </c>
      <c r="G132" s="418"/>
      <c r="H132" s="224">
        <v>13</v>
      </c>
      <c r="I132" s="223"/>
      <c r="J132" s="550">
        <v>1901340.5263257527</v>
      </c>
      <c r="K132" s="267"/>
      <c r="L132" s="130">
        <f t="shared" ref="L132:L150" si="131">(VLOOKUP($H132,Factors,L$378))*$J132</f>
        <v>1713868.3504300334</v>
      </c>
      <c r="M132" s="94"/>
      <c r="N132" s="130">
        <f t="shared" ref="N132:N150" si="132">(VLOOKUP($H132,Factors,N$378))*$J132</f>
        <v>130812.22821121178</v>
      </c>
      <c r="O132" s="94"/>
      <c r="P132" s="130">
        <f t="shared" ref="P132:P150" si="133">(VLOOKUP($H132,Factors,P$378))*$J132</f>
        <v>760.5362105303011</v>
      </c>
      <c r="Q132" s="94"/>
      <c r="R132" s="130">
        <f t="shared" ref="R132:R150" si="134">(VLOOKUP($H132,Factors,R$378))*$J132</f>
        <v>11408.043157954517</v>
      </c>
      <c r="S132" s="94"/>
      <c r="T132" s="130">
        <f t="shared" ref="T132:T150" si="135">(VLOOKUP($H132,Factors,T$378))*$J132</f>
        <v>190.13405263257528</v>
      </c>
      <c r="U132" s="94"/>
      <c r="V132" s="130">
        <f t="shared" ref="V132:V150" si="136">(VLOOKUP($H132,Factors,V$378))*$J132</f>
        <v>43730.832105492314</v>
      </c>
      <c r="W132" s="94"/>
      <c r="X132" s="130">
        <f t="shared" ref="X132:X150" si="137">(VLOOKUP($H132,Factors,X$378))*$J132</f>
        <v>570.40215789772571</v>
      </c>
      <c r="Y132" s="94"/>
      <c r="Z132" s="94">
        <f t="shared" si="78"/>
        <v>0</v>
      </c>
      <c r="AC132" s="97" t="s">
        <v>48</v>
      </c>
      <c r="AE132" s="112">
        <f t="shared" si="125"/>
        <v>13</v>
      </c>
      <c r="AG132" s="550">
        <f t="shared" si="126"/>
        <v>1901340.5263257527</v>
      </c>
      <c r="AH132" s="267"/>
      <c r="AI132" s="130">
        <f t="shared" ref="AI132:AI150" si="138">(VLOOKUP($AE132,func,AI$378))*$AG132</f>
        <v>0</v>
      </c>
      <c r="AJ132" s="94"/>
      <c r="AK132" s="130">
        <f t="shared" ref="AK132:AK150" si="139">(VLOOKUP($AE132,func,AK$378))*$AG132</f>
        <v>0</v>
      </c>
      <c r="AL132" s="94"/>
      <c r="AM132" s="130">
        <f t="shared" ref="AM132:AM150" si="140">(VLOOKUP($AE132,func,AM$378))*$AG132</f>
        <v>0</v>
      </c>
      <c r="AN132" s="94"/>
      <c r="AO132" s="130">
        <f t="shared" ref="AO132:AO150" si="141">(VLOOKUP($AE132,func,AO$378))*$AG132</f>
        <v>0</v>
      </c>
      <c r="AP132" s="94"/>
      <c r="AQ132" s="130">
        <f t="shared" ref="AQ132:AQ150" si="142">(VLOOKUP($AE132,func,AQ$378))*$AG132</f>
        <v>0</v>
      </c>
      <c r="AR132" s="94"/>
      <c r="AS132" s="130">
        <f t="shared" ref="AS132:AS150" si="143">(VLOOKUP($AE132,func,AS$378))*$AG132</f>
        <v>1857039.2920623627</v>
      </c>
      <c r="AT132" s="94"/>
      <c r="AU132" s="130">
        <f t="shared" ref="AU132:AU150" si="144">(VLOOKUP($AE132,func,AU$378))*$AG132</f>
        <v>0</v>
      </c>
      <c r="AV132" s="130"/>
      <c r="AW132" s="130">
        <f t="shared" ref="AW132:AW150" si="145">(VLOOKUP($AE132,func,AW$378))*$AG132</f>
        <v>43730.832105492314</v>
      </c>
      <c r="AX132" s="130"/>
      <c r="AY132" s="130">
        <f t="shared" ref="AY132:AY150" si="146">(VLOOKUP($AE132,func,AY$378))*$AG132</f>
        <v>570.40215789772571</v>
      </c>
      <c r="BA132" s="82">
        <f t="shared" si="130"/>
        <v>0</v>
      </c>
      <c r="BB132" s="67"/>
      <c r="BC132" s="67"/>
      <c r="BD132" s="67"/>
    </row>
    <row r="133" spans="1:56" s="340" customFormat="1" x14ac:dyDescent="0.2">
      <c r="A133" s="551"/>
      <c r="B133" s="683"/>
      <c r="C133" s="516"/>
      <c r="D133" s="273"/>
      <c r="E133" s="94"/>
      <c r="F133" s="223" t="s">
        <v>381</v>
      </c>
      <c r="G133" s="418"/>
      <c r="H133" s="224">
        <v>16</v>
      </c>
      <c r="I133" s="223"/>
      <c r="J133" s="550">
        <v>789758.81917266024</v>
      </c>
      <c r="K133" s="267"/>
      <c r="L133" s="130">
        <f t="shared" si="131"/>
        <v>486096.55320077244</v>
      </c>
      <c r="M133" s="94"/>
      <c r="N133" s="130">
        <f t="shared" si="132"/>
        <v>186856.93661625142</v>
      </c>
      <c r="O133" s="94"/>
      <c r="P133" s="130">
        <f t="shared" si="133"/>
        <v>22113.246936834486</v>
      </c>
      <c r="Q133" s="94"/>
      <c r="R133" s="130">
        <f t="shared" si="134"/>
        <v>48175.28796953227</v>
      </c>
      <c r="S133" s="94"/>
      <c r="T133" s="130">
        <f t="shared" si="135"/>
        <v>14847.465800446013</v>
      </c>
      <c r="U133" s="94"/>
      <c r="V133" s="130">
        <f t="shared" si="136"/>
        <v>15242.345210032343</v>
      </c>
      <c r="W133" s="94"/>
      <c r="X133" s="130">
        <f t="shared" si="137"/>
        <v>16426.983438791332</v>
      </c>
      <c r="Y133" s="94"/>
      <c r="Z133" s="94">
        <f t="shared" si="78"/>
        <v>0</v>
      </c>
      <c r="AC133" s="97" t="s">
        <v>381</v>
      </c>
      <c r="AE133" s="112">
        <f t="shared" si="125"/>
        <v>16</v>
      </c>
      <c r="AG133" s="550">
        <f t="shared" si="126"/>
        <v>789758.81917266024</v>
      </c>
      <c r="AH133" s="267"/>
      <c r="AI133" s="130">
        <f t="shared" si="138"/>
        <v>257224.44740453543</v>
      </c>
      <c r="AJ133" s="94"/>
      <c r="AK133" s="130">
        <f t="shared" si="139"/>
        <v>171772.5431700536</v>
      </c>
      <c r="AL133" s="94"/>
      <c r="AM133" s="130">
        <f t="shared" si="140"/>
        <v>44779.325047089835</v>
      </c>
      <c r="AN133" s="94"/>
      <c r="AO133" s="130">
        <f t="shared" si="141"/>
        <v>176590.07196700684</v>
      </c>
      <c r="AP133" s="94"/>
      <c r="AQ133" s="130">
        <f t="shared" si="142"/>
        <v>37355.592146866831</v>
      </c>
      <c r="AR133" s="94"/>
      <c r="AS133" s="130">
        <f t="shared" si="143"/>
        <v>77396.364278920708</v>
      </c>
      <c r="AT133" s="94"/>
      <c r="AU133" s="130">
        <f t="shared" si="144"/>
        <v>-6476.0223172158148</v>
      </c>
      <c r="AV133" s="130"/>
      <c r="AW133" s="130">
        <f t="shared" si="145"/>
        <v>14689.514036611479</v>
      </c>
      <c r="AX133" s="130"/>
      <c r="AY133" s="130">
        <f t="shared" si="146"/>
        <v>16426.983438791332</v>
      </c>
      <c r="BA133" s="82">
        <f t="shared" si="130"/>
        <v>0</v>
      </c>
      <c r="BB133" s="67"/>
      <c r="BC133" s="67"/>
      <c r="BD133" s="67"/>
    </row>
    <row r="134" spans="1:56" s="340" customFormat="1" x14ac:dyDescent="0.2">
      <c r="A134" s="551"/>
      <c r="B134" s="551"/>
      <c r="C134" s="516"/>
      <c r="D134" s="273"/>
      <c r="E134" s="94"/>
      <c r="F134" s="223" t="s">
        <v>49</v>
      </c>
      <c r="G134" s="418"/>
      <c r="H134" s="224">
        <v>1</v>
      </c>
      <c r="I134" s="223"/>
      <c r="J134" s="550">
        <v>99673.564850137976</v>
      </c>
      <c r="K134" s="267"/>
      <c r="L134" s="130">
        <f t="shared" si="131"/>
        <v>47923.049979946343</v>
      </c>
      <c r="M134" s="94"/>
      <c r="N134" s="130">
        <f t="shared" si="132"/>
        <v>32324.137080899742</v>
      </c>
      <c r="O134" s="94"/>
      <c r="P134" s="130">
        <f t="shared" si="133"/>
        <v>5252.796867602271</v>
      </c>
      <c r="Q134" s="94"/>
      <c r="R134" s="130">
        <f t="shared" si="134"/>
        <v>9917.5197025887301</v>
      </c>
      <c r="S134" s="94"/>
      <c r="T134" s="130">
        <f t="shared" si="135"/>
        <v>3628.1177605450225</v>
      </c>
      <c r="U134" s="94"/>
      <c r="V134" s="130">
        <f t="shared" si="136"/>
        <v>308.9880510354277</v>
      </c>
      <c r="W134" s="94"/>
      <c r="X134" s="130">
        <f t="shared" si="137"/>
        <v>318.95540752044155</v>
      </c>
      <c r="Y134" s="94"/>
      <c r="Z134" s="94">
        <f t="shared" si="78"/>
        <v>0</v>
      </c>
      <c r="AC134" s="97" t="s">
        <v>49</v>
      </c>
      <c r="AE134" s="112">
        <f t="shared" si="125"/>
        <v>1</v>
      </c>
      <c r="AG134" s="550">
        <f t="shared" si="126"/>
        <v>99673.564850137976</v>
      </c>
      <c r="AH134" s="267"/>
      <c r="AI134" s="130">
        <f t="shared" si="138"/>
        <v>99045.621391582114</v>
      </c>
      <c r="AJ134" s="94"/>
      <c r="AK134" s="130">
        <f t="shared" si="139"/>
        <v>0</v>
      </c>
      <c r="AL134" s="94"/>
      <c r="AM134" s="130">
        <f t="shared" si="140"/>
        <v>0</v>
      </c>
      <c r="AN134" s="94"/>
      <c r="AO134" s="130">
        <f t="shared" si="141"/>
        <v>0</v>
      </c>
      <c r="AP134" s="94"/>
      <c r="AQ134" s="130">
        <f t="shared" si="142"/>
        <v>0</v>
      </c>
      <c r="AR134" s="94"/>
      <c r="AS134" s="130">
        <f t="shared" si="143"/>
        <v>0</v>
      </c>
      <c r="AT134" s="94"/>
      <c r="AU134" s="130">
        <f t="shared" si="144"/>
        <v>0</v>
      </c>
      <c r="AV134" s="130"/>
      <c r="AW134" s="130">
        <f t="shared" si="145"/>
        <v>308.9880510354277</v>
      </c>
      <c r="AX134" s="130"/>
      <c r="AY134" s="130">
        <f t="shared" si="146"/>
        <v>318.95540752044155</v>
      </c>
      <c r="BA134" s="82">
        <f t="shared" si="130"/>
        <v>0</v>
      </c>
      <c r="BB134" s="67"/>
      <c r="BC134" s="67"/>
      <c r="BD134" s="67"/>
    </row>
    <row r="135" spans="1:56" s="340" customFormat="1" x14ac:dyDescent="0.2">
      <c r="A135" s="680"/>
      <c r="B135" s="680"/>
      <c r="C135" s="516"/>
      <c r="D135" s="273"/>
      <c r="E135" s="94"/>
      <c r="F135" s="223" t="s">
        <v>50</v>
      </c>
      <c r="G135" s="418"/>
      <c r="H135" s="224">
        <v>15</v>
      </c>
      <c r="I135" s="223"/>
      <c r="J135" s="550">
        <v>6928245.5396514479</v>
      </c>
      <c r="K135" s="267"/>
      <c r="L135" s="130">
        <f t="shared" si="131"/>
        <v>4459711.6538736373</v>
      </c>
      <c r="M135" s="94"/>
      <c r="N135" s="130">
        <f t="shared" si="132"/>
        <v>1468788.0544061069</v>
      </c>
      <c r="O135" s="94"/>
      <c r="P135" s="130">
        <f t="shared" si="133"/>
        <v>164199.41928973931</v>
      </c>
      <c r="Q135" s="94"/>
      <c r="R135" s="130">
        <f t="shared" si="134"/>
        <v>354726.17163015413</v>
      </c>
      <c r="S135" s="94"/>
      <c r="T135" s="130">
        <f t="shared" si="135"/>
        <v>109466.27952649289</v>
      </c>
      <c r="U135" s="94"/>
      <c r="V135" s="130">
        <f t="shared" si="136"/>
        <v>194683.69966420569</v>
      </c>
      <c r="W135" s="94"/>
      <c r="X135" s="130">
        <f t="shared" si="137"/>
        <v>176670.26126111191</v>
      </c>
      <c r="Y135" s="94"/>
      <c r="Z135" s="94">
        <f t="shared" si="78"/>
        <v>0</v>
      </c>
      <c r="AC135" s="97" t="s">
        <v>50</v>
      </c>
      <c r="AE135" s="112">
        <f t="shared" si="125"/>
        <v>15</v>
      </c>
      <c r="AG135" s="550">
        <f t="shared" si="126"/>
        <v>6928245.5396514479</v>
      </c>
      <c r="AH135" s="267"/>
      <c r="AI135" s="130">
        <f t="shared" si="138"/>
        <v>1856769.8046265882</v>
      </c>
      <c r="AJ135" s="94"/>
      <c r="AK135" s="130">
        <f t="shared" si="139"/>
        <v>1108519.2863442316</v>
      </c>
      <c r="AL135" s="94"/>
      <c r="AM135" s="130">
        <f t="shared" si="140"/>
        <v>585436.74810054735</v>
      </c>
      <c r="AN135" s="94"/>
      <c r="AO135" s="130">
        <f t="shared" si="141"/>
        <v>1187501.2854962582</v>
      </c>
      <c r="AP135" s="94"/>
      <c r="AQ135" s="130">
        <f t="shared" si="142"/>
        <v>225167.98003867207</v>
      </c>
      <c r="AR135" s="94"/>
      <c r="AS135" s="130">
        <f t="shared" si="143"/>
        <v>1127918.3738552558</v>
      </c>
      <c r="AT135" s="94"/>
      <c r="AU135" s="130">
        <f t="shared" si="144"/>
        <v>480820.24045181053</v>
      </c>
      <c r="AV135" s="130"/>
      <c r="AW135" s="130">
        <f t="shared" si="145"/>
        <v>179441.5594769725</v>
      </c>
      <c r="AX135" s="130"/>
      <c r="AY135" s="130">
        <f t="shared" si="146"/>
        <v>176670.26126111191</v>
      </c>
      <c r="BA135" s="82">
        <f t="shared" si="130"/>
        <v>0</v>
      </c>
      <c r="BB135" s="67"/>
      <c r="BC135" s="67"/>
      <c r="BD135" s="67"/>
    </row>
    <row r="136" spans="1:56" s="340" customFormat="1" x14ac:dyDescent="0.2">
      <c r="A136" s="680"/>
      <c r="B136" s="551"/>
      <c r="C136" s="518"/>
      <c r="D136" s="273">
        <v>632.79999999999995</v>
      </c>
      <c r="E136" s="94"/>
      <c r="F136" s="223" t="s">
        <v>478</v>
      </c>
      <c r="G136" s="418"/>
      <c r="H136" s="224">
        <v>15</v>
      </c>
      <c r="I136" s="223"/>
      <c r="J136" s="550">
        <v>769295</v>
      </c>
      <c r="K136" s="267"/>
      <c r="L136" s="130">
        <f t="shared" si="131"/>
        <v>495195.19150000002</v>
      </c>
      <c r="M136" s="94"/>
      <c r="N136" s="130">
        <f t="shared" si="132"/>
        <v>163090.54</v>
      </c>
      <c r="O136" s="94"/>
      <c r="P136" s="130">
        <f t="shared" si="133"/>
        <v>18232.291499999999</v>
      </c>
      <c r="Q136" s="94"/>
      <c r="R136" s="130">
        <f t="shared" si="134"/>
        <v>39387.904000000002</v>
      </c>
      <c r="S136" s="94"/>
      <c r="T136" s="130">
        <f t="shared" si="135"/>
        <v>12154.861000000001</v>
      </c>
      <c r="U136" s="94"/>
      <c r="V136" s="130">
        <f t="shared" si="136"/>
        <v>21617.1895</v>
      </c>
      <c r="W136" s="94"/>
      <c r="X136" s="130">
        <f t="shared" si="137"/>
        <v>19617.022499999999</v>
      </c>
      <c r="Y136" s="94"/>
      <c r="Z136" s="94">
        <f t="shared" si="78"/>
        <v>0</v>
      </c>
      <c r="AC136" s="97" t="s">
        <v>478</v>
      </c>
      <c r="AE136" s="112">
        <f t="shared" si="125"/>
        <v>15</v>
      </c>
      <c r="AG136" s="550">
        <f t="shared" si="126"/>
        <v>769295</v>
      </c>
      <c r="AH136" s="267"/>
      <c r="AI136" s="130">
        <f t="shared" si="138"/>
        <v>206171.06000000003</v>
      </c>
      <c r="AJ136" s="94"/>
      <c r="AK136" s="130">
        <f t="shared" si="139"/>
        <v>123087.2</v>
      </c>
      <c r="AL136" s="94"/>
      <c r="AM136" s="130">
        <f t="shared" si="140"/>
        <v>65005.427500000005</v>
      </c>
      <c r="AN136" s="94"/>
      <c r="AO136" s="130">
        <f t="shared" si="141"/>
        <v>131857.163</v>
      </c>
      <c r="AP136" s="94"/>
      <c r="AQ136" s="130">
        <f t="shared" si="142"/>
        <v>25002.087500000001</v>
      </c>
      <c r="AR136" s="94"/>
      <c r="AS136" s="130">
        <f t="shared" si="143"/>
        <v>125241.226</v>
      </c>
      <c r="AT136" s="94"/>
      <c r="AU136" s="130">
        <f t="shared" si="144"/>
        <v>53389.073000000004</v>
      </c>
      <c r="AV136" s="130"/>
      <c r="AW136" s="130">
        <f t="shared" si="145"/>
        <v>19924.7405</v>
      </c>
      <c r="AX136" s="130"/>
      <c r="AY136" s="130">
        <f t="shared" si="146"/>
        <v>19617.022499999999</v>
      </c>
      <c r="BA136" s="82">
        <f t="shared" si="130"/>
        <v>0</v>
      </c>
      <c r="BB136" s="67"/>
      <c r="BC136" s="67"/>
      <c r="BD136" s="67"/>
    </row>
    <row r="137" spans="1:56" s="340" customFormat="1" x14ac:dyDescent="0.2">
      <c r="A137" s="680"/>
      <c r="B137" s="680"/>
      <c r="C137" s="516"/>
      <c r="D137" s="273">
        <v>642.79999999999995</v>
      </c>
      <c r="E137" s="94"/>
      <c r="F137" s="223" t="s">
        <v>421</v>
      </c>
      <c r="G137" s="418"/>
      <c r="H137" s="224">
        <v>15</v>
      </c>
      <c r="I137" s="223"/>
      <c r="J137" s="550">
        <v>3006</v>
      </c>
      <c r="K137" s="267"/>
      <c r="L137" s="130">
        <f t="shared" si="131"/>
        <v>1934.9622000000002</v>
      </c>
      <c r="M137" s="94"/>
      <c r="N137" s="130">
        <f t="shared" si="132"/>
        <v>637.27199999999993</v>
      </c>
      <c r="O137" s="94"/>
      <c r="P137" s="130">
        <f t="shared" si="133"/>
        <v>71.242199999999997</v>
      </c>
      <c r="Q137" s="94"/>
      <c r="R137" s="130">
        <f t="shared" si="134"/>
        <v>153.90720000000002</v>
      </c>
      <c r="S137" s="94"/>
      <c r="T137" s="130">
        <f t="shared" si="135"/>
        <v>47.494800000000005</v>
      </c>
      <c r="U137" s="94"/>
      <c r="V137" s="130">
        <f t="shared" si="136"/>
        <v>84.468599999999995</v>
      </c>
      <c r="W137" s="94"/>
      <c r="X137" s="130">
        <f t="shared" si="137"/>
        <v>76.652999999999992</v>
      </c>
      <c r="Y137" s="94"/>
      <c r="Z137" s="94">
        <f t="shared" si="78"/>
        <v>0</v>
      </c>
      <c r="AC137" s="97" t="s">
        <v>421</v>
      </c>
      <c r="AE137" s="112">
        <f t="shared" si="125"/>
        <v>15</v>
      </c>
      <c r="AG137" s="550">
        <f t="shared" si="126"/>
        <v>3006</v>
      </c>
      <c r="AH137" s="267"/>
      <c r="AI137" s="130">
        <f t="shared" si="138"/>
        <v>805.60800000000006</v>
      </c>
      <c r="AJ137" s="94"/>
      <c r="AK137" s="130">
        <f t="shared" si="139"/>
        <v>480.96000000000004</v>
      </c>
      <c r="AL137" s="94"/>
      <c r="AM137" s="130">
        <f t="shared" si="140"/>
        <v>254.00700000000001</v>
      </c>
      <c r="AN137" s="94"/>
      <c r="AO137" s="130">
        <f t="shared" si="141"/>
        <v>515.22839999999997</v>
      </c>
      <c r="AP137" s="94"/>
      <c r="AQ137" s="130">
        <f t="shared" si="142"/>
        <v>97.695000000000007</v>
      </c>
      <c r="AR137" s="94"/>
      <c r="AS137" s="130">
        <f t="shared" si="143"/>
        <v>489.3768</v>
      </c>
      <c r="AT137" s="94"/>
      <c r="AU137" s="130">
        <f t="shared" si="144"/>
        <v>208.6164</v>
      </c>
      <c r="AV137" s="130"/>
      <c r="AW137" s="130">
        <f t="shared" si="145"/>
        <v>77.855400000000003</v>
      </c>
      <c r="AX137" s="130"/>
      <c r="AY137" s="130">
        <f t="shared" si="146"/>
        <v>76.652999999999992</v>
      </c>
      <c r="BA137" s="82">
        <f t="shared" si="130"/>
        <v>0</v>
      </c>
      <c r="BB137" s="67"/>
      <c r="BC137" s="67"/>
      <c r="BD137" s="67"/>
    </row>
    <row r="138" spans="1:56" s="340" customFormat="1" x14ac:dyDescent="0.2">
      <c r="A138" s="680"/>
      <c r="B138" s="680"/>
      <c r="C138" s="516"/>
      <c r="D138" s="273">
        <v>650.79999999999995</v>
      </c>
      <c r="E138" s="94"/>
      <c r="F138" s="223" t="s">
        <v>489</v>
      </c>
      <c r="G138" s="418"/>
      <c r="H138" s="224">
        <v>15</v>
      </c>
      <c r="I138" s="223"/>
      <c r="J138" s="550">
        <v>421787</v>
      </c>
      <c r="K138" s="267"/>
      <c r="L138" s="130">
        <f t="shared" si="131"/>
        <v>271504.29190000001</v>
      </c>
      <c r="M138" s="94"/>
      <c r="N138" s="130">
        <f t="shared" si="132"/>
        <v>89418.843999999997</v>
      </c>
      <c r="O138" s="94"/>
      <c r="P138" s="130">
        <f t="shared" si="133"/>
        <v>9996.3518999999997</v>
      </c>
      <c r="Q138" s="94"/>
      <c r="R138" s="130">
        <f t="shared" si="134"/>
        <v>21595.4944</v>
      </c>
      <c r="S138" s="94"/>
      <c r="T138" s="130">
        <f t="shared" si="135"/>
        <v>6664.2346000000007</v>
      </c>
      <c r="U138" s="94"/>
      <c r="V138" s="130">
        <f t="shared" si="136"/>
        <v>11852.2147</v>
      </c>
      <c r="W138" s="94"/>
      <c r="X138" s="130">
        <f t="shared" si="137"/>
        <v>10755.568499999999</v>
      </c>
      <c r="Y138" s="94"/>
      <c r="Z138" s="94">
        <f t="shared" si="78"/>
        <v>0</v>
      </c>
      <c r="AC138" s="97" t="s">
        <v>489</v>
      </c>
      <c r="AE138" s="112">
        <f t="shared" si="125"/>
        <v>15</v>
      </c>
      <c r="AG138" s="550">
        <f t="shared" si="126"/>
        <v>421787</v>
      </c>
      <c r="AH138" s="267"/>
      <c r="AI138" s="130">
        <f t="shared" si="138"/>
        <v>113038.91600000001</v>
      </c>
      <c r="AJ138" s="94"/>
      <c r="AK138" s="130">
        <f t="shared" si="139"/>
        <v>67485.919999999998</v>
      </c>
      <c r="AL138" s="94"/>
      <c r="AM138" s="130">
        <f t="shared" si="140"/>
        <v>35641.001500000006</v>
      </c>
      <c r="AN138" s="94"/>
      <c r="AO138" s="130">
        <f t="shared" si="141"/>
        <v>72294.291799999992</v>
      </c>
      <c r="AP138" s="94"/>
      <c r="AQ138" s="130">
        <f t="shared" si="142"/>
        <v>13708.077500000001</v>
      </c>
      <c r="AR138" s="94"/>
      <c r="AS138" s="130">
        <f t="shared" si="143"/>
        <v>68666.923599999995</v>
      </c>
      <c r="AT138" s="94"/>
      <c r="AU138" s="130">
        <f t="shared" si="144"/>
        <v>29272.017800000001</v>
      </c>
      <c r="AV138" s="130"/>
      <c r="AW138" s="130">
        <f t="shared" si="145"/>
        <v>10924.283299999999</v>
      </c>
      <c r="AX138" s="130"/>
      <c r="AY138" s="130">
        <f t="shared" si="146"/>
        <v>10755.568499999999</v>
      </c>
      <c r="BA138" s="82">
        <f t="shared" si="130"/>
        <v>0</v>
      </c>
      <c r="BB138" s="67"/>
      <c r="BC138" s="67"/>
      <c r="BD138" s="67"/>
    </row>
    <row r="139" spans="1:56" s="340" customFormat="1" x14ac:dyDescent="0.2">
      <c r="A139" s="680"/>
      <c r="B139" s="680"/>
      <c r="C139" s="677"/>
      <c r="D139" s="273">
        <v>656.8</v>
      </c>
      <c r="E139" s="94"/>
      <c r="F139" s="223" t="s">
        <v>479</v>
      </c>
      <c r="G139" s="418"/>
      <c r="H139" s="224">
        <v>15</v>
      </c>
      <c r="I139" s="223"/>
      <c r="J139" s="550">
        <v>700915</v>
      </c>
      <c r="K139" s="267"/>
      <c r="L139" s="130">
        <f t="shared" si="131"/>
        <v>451178.98550000001</v>
      </c>
      <c r="M139" s="94"/>
      <c r="N139" s="130">
        <f t="shared" si="132"/>
        <v>148593.97999999998</v>
      </c>
      <c r="O139" s="94"/>
      <c r="P139" s="130">
        <f t="shared" si="133"/>
        <v>16611.6855</v>
      </c>
      <c r="Q139" s="94"/>
      <c r="R139" s="130">
        <f t="shared" si="134"/>
        <v>35886.847999999998</v>
      </c>
      <c r="S139" s="94"/>
      <c r="T139" s="130">
        <f t="shared" si="135"/>
        <v>11074.457</v>
      </c>
      <c r="U139" s="94"/>
      <c r="V139" s="130">
        <f t="shared" si="136"/>
        <v>19695.711500000001</v>
      </c>
      <c r="W139" s="94"/>
      <c r="X139" s="130">
        <f t="shared" si="137"/>
        <v>17873.3325</v>
      </c>
      <c r="Y139" s="94"/>
      <c r="Z139" s="94">
        <f t="shared" si="78"/>
        <v>0</v>
      </c>
      <c r="AC139" s="97" t="s">
        <v>479</v>
      </c>
      <c r="AE139" s="112">
        <f t="shared" si="125"/>
        <v>15</v>
      </c>
      <c r="AG139" s="550">
        <f t="shared" si="126"/>
        <v>700915</v>
      </c>
      <c r="AH139" s="267"/>
      <c r="AI139" s="130">
        <f t="shared" si="138"/>
        <v>187845.22</v>
      </c>
      <c r="AJ139" s="94"/>
      <c r="AK139" s="130">
        <f t="shared" si="139"/>
        <v>112146.40000000001</v>
      </c>
      <c r="AL139" s="94"/>
      <c r="AM139" s="130">
        <f t="shared" si="140"/>
        <v>59227.317500000005</v>
      </c>
      <c r="AN139" s="94"/>
      <c r="AO139" s="130">
        <f t="shared" si="141"/>
        <v>120136.83099999999</v>
      </c>
      <c r="AP139" s="94"/>
      <c r="AQ139" s="130">
        <f t="shared" si="142"/>
        <v>22779.737499999999</v>
      </c>
      <c r="AR139" s="94"/>
      <c r="AS139" s="130">
        <f t="shared" si="143"/>
        <v>114108.962</v>
      </c>
      <c r="AT139" s="94"/>
      <c r="AU139" s="130">
        <f t="shared" si="144"/>
        <v>48643.501000000004</v>
      </c>
      <c r="AV139" s="130"/>
      <c r="AW139" s="130">
        <f t="shared" si="145"/>
        <v>18153.698499999999</v>
      </c>
      <c r="AX139" s="130"/>
      <c r="AY139" s="130">
        <f t="shared" si="146"/>
        <v>17873.3325</v>
      </c>
      <c r="BA139" s="82">
        <f t="shared" si="130"/>
        <v>0</v>
      </c>
      <c r="BB139" s="67"/>
      <c r="BC139" s="67"/>
      <c r="BD139" s="67"/>
    </row>
    <row r="140" spans="1:56" s="340" customFormat="1" x14ac:dyDescent="0.2">
      <c r="A140" s="513"/>
      <c r="B140" s="513"/>
      <c r="C140" s="516"/>
      <c r="D140" s="273">
        <v>658.8</v>
      </c>
      <c r="E140" s="94"/>
      <c r="F140" s="223" t="s">
        <v>427</v>
      </c>
      <c r="G140" s="418"/>
      <c r="H140" s="224">
        <v>16</v>
      </c>
      <c r="I140" s="223"/>
      <c r="J140" s="550">
        <v>66173</v>
      </c>
      <c r="K140" s="267"/>
      <c r="L140" s="130">
        <f t="shared" si="131"/>
        <v>40729.481500000002</v>
      </c>
      <c r="M140" s="94"/>
      <c r="N140" s="130">
        <f t="shared" si="132"/>
        <v>15656.531800000001</v>
      </c>
      <c r="O140" s="94"/>
      <c r="P140" s="130">
        <f t="shared" si="133"/>
        <v>1852.8440000000001</v>
      </c>
      <c r="Q140" s="94"/>
      <c r="R140" s="130">
        <f t="shared" si="134"/>
        <v>4036.5529999999999</v>
      </c>
      <c r="S140" s="94"/>
      <c r="T140" s="130">
        <f t="shared" si="135"/>
        <v>1244.0524</v>
      </c>
      <c r="U140" s="94"/>
      <c r="V140" s="130">
        <f t="shared" si="136"/>
        <v>1277.1389000000001</v>
      </c>
      <c r="W140" s="94"/>
      <c r="X140" s="130">
        <f t="shared" si="137"/>
        <v>1376.3984</v>
      </c>
      <c r="Y140" s="94"/>
      <c r="Z140" s="94">
        <f t="shared" si="78"/>
        <v>0</v>
      </c>
      <c r="AC140" s="97" t="s">
        <v>427</v>
      </c>
      <c r="AE140" s="112">
        <f t="shared" si="125"/>
        <v>16</v>
      </c>
      <c r="AG140" s="550">
        <f t="shared" si="126"/>
        <v>66173</v>
      </c>
      <c r="AH140" s="267"/>
      <c r="AI140" s="130">
        <f t="shared" si="138"/>
        <v>21552.5461</v>
      </c>
      <c r="AJ140" s="94"/>
      <c r="AK140" s="130">
        <f t="shared" si="139"/>
        <v>14392.627500000001</v>
      </c>
      <c r="AL140" s="94"/>
      <c r="AM140" s="130">
        <f t="shared" si="140"/>
        <v>3752.0091000000002</v>
      </c>
      <c r="AN140" s="94"/>
      <c r="AO140" s="130">
        <f t="shared" si="141"/>
        <v>14796.282799999999</v>
      </c>
      <c r="AP140" s="94"/>
      <c r="AQ140" s="130">
        <f t="shared" si="142"/>
        <v>3129.9829</v>
      </c>
      <c r="AR140" s="94"/>
      <c r="AS140" s="130">
        <f t="shared" si="143"/>
        <v>6484.9540000000006</v>
      </c>
      <c r="AT140" s="94"/>
      <c r="AU140" s="130">
        <f t="shared" si="144"/>
        <v>-542.61860000000001</v>
      </c>
      <c r="AV140" s="130"/>
      <c r="AW140" s="130">
        <f t="shared" si="145"/>
        <v>1230.8177999999998</v>
      </c>
      <c r="AX140" s="130"/>
      <c r="AY140" s="130">
        <f t="shared" si="146"/>
        <v>1376.3984</v>
      </c>
      <c r="BA140" s="82">
        <f t="shared" si="130"/>
        <v>0</v>
      </c>
      <c r="BB140" s="67"/>
      <c r="BC140" s="67"/>
      <c r="BD140" s="67"/>
    </row>
    <row r="141" spans="1:56" s="340" customFormat="1" x14ac:dyDescent="0.2">
      <c r="A141" s="511"/>
      <c r="B141" s="551"/>
      <c r="C141" s="519"/>
      <c r="D141" s="273">
        <v>604.79999999999995</v>
      </c>
      <c r="E141" s="94"/>
      <c r="F141" s="223" t="s">
        <v>428</v>
      </c>
      <c r="G141" s="418"/>
      <c r="H141" s="224">
        <v>16</v>
      </c>
      <c r="I141" s="223"/>
      <c r="J141" s="550">
        <v>2838987.3763886103</v>
      </c>
      <c r="K141" s="267"/>
      <c r="L141" s="130">
        <f t="shared" si="131"/>
        <v>1747396.7301671898</v>
      </c>
      <c r="M141" s="94"/>
      <c r="N141" s="130">
        <f t="shared" si="132"/>
        <v>671704.41325354518</v>
      </c>
      <c r="O141" s="94"/>
      <c r="P141" s="130">
        <f t="shared" si="133"/>
        <v>79491.64653888109</v>
      </c>
      <c r="Q141" s="94"/>
      <c r="R141" s="130">
        <f t="shared" si="134"/>
        <v>173178.22995970523</v>
      </c>
      <c r="S141" s="94"/>
      <c r="T141" s="130">
        <f t="shared" si="135"/>
        <v>53372.962676105875</v>
      </c>
      <c r="U141" s="94"/>
      <c r="V141" s="130">
        <f t="shared" si="136"/>
        <v>54792.456364300182</v>
      </c>
      <c r="W141" s="94"/>
      <c r="X141" s="130">
        <f t="shared" si="137"/>
        <v>59050.937428883095</v>
      </c>
      <c r="Y141" s="94"/>
      <c r="Z141" s="94">
        <f t="shared" si="78"/>
        <v>0</v>
      </c>
      <c r="AC141" s="97" t="s">
        <v>428</v>
      </c>
      <c r="AE141" s="112">
        <f t="shared" si="125"/>
        <v>16</v>
      </c>
      <c r="AG141" s="550">
        <f t="shared" si="126"/>
        <v>2838987.3763886103</v>
      </c>
      <c r="AH141" s="267"/>
      <c r="AI141" s="130">
        <f t="shared" si="138"/>
        <v>924658.1884897704</v>
      </c>
      <c r="AJ141" s="94"/>
      <c r="AK141" s="130">
        <f t="shared" si="139"/>
        <v>617479.75436452276</v>
      </c>
      <c r="AL141" s="94"/>
      <c r="AM141" s="130">
        <f t="shared" si="140"/>
        <v>160970.5842412342</v>
      </c>
      <c r="AN141" s="94"/>
      <c r="AO141" s="130">
        <f t="shared" si="141"/>
        <v>634797.57736049325</v>
      </c>
      <c r="AP141" s="94"/>
      <c r="AQ141" s="130">
        <f t="shared" si="142"/>
        <v>134284.10290318128</v>
      </c>
      <c r="AR141" s="94"/>
      <c r="AS141" s="130">
        <f t="shared" si="143"/>
        <v>278220.7628860838</v>
      </c>
      <c r="AT141" s="94"/>
      <c r="AU141" s="130">
        <f t="shared" si="144"/>
        <v>-23279.696486386605</v>
      </c>
      <c r="AV141" s="130"/>
      <c r="AW141" s="130">
        <f t="shared" si="145"/>
        <v>52805.165200828145</v>
      </c>
      <c r="AX141" s="130"/>
      <c r="AY141" s="130">
        <f t="shared" si="146"/>
        <v>59050.937428883095</v>
      </c>
      <c r="BA141" s="82">
        <f t="shared" si="130"/>
        <v>0</v>
      </c>
      <c r="BB141" s="67"/>
      <c r="BC141" s="67"/>
      <c r="BD141" s="67"/>
    </row>
    <row r="142" spans="1:56" s="340" customFormat="1" x14ac:dyDescent="0.2">
      <c r="A142" s="513"/>
      <c r="B142" s="513"/>
      <c r="C142" s="516"/>
      <c r="D142" s="273">
        <v>666.8</v>
      </c>
      <c r="E142" s="94"/>
      <c r="F142" s="223" t="s">
        <v>429</v>
      </c>
      <c r="G142" s="418"/>
      <c r="H142" s="224">
        <v>19</v>
      </c>
      <c r="I142" s="223"/>
      <c r="J142" s="550">
        <v>410186</v>
      </c>
      <c r="K142" s="267"/>
      <c r="L142" s="130">
        <f t="shared" si="131"/>
        <v>228555.63920000001</v>
      </c>
      <c r="M142" s="94"/>
      <c r="N142" s="130">
        <f t="shared" si="132"/>
        <v>104556.41140000001</v>
      </c>
      <c r="O142" s="94"/>
      <c r="P142" s="130">
        <f t="shared" si="133"/>
        <v>11813.3568</v>
      </c>
      <c r="Q142" s="94"/>
      <c r="R142" s="130">
        <f t="shared" si="134"/>
        <v>27359.406199999998</v>
      </c>
      <c r="S142" s="94"/>
      <c r="T142" s="130">
        <f t="shared" si="135"/>
        <v>7916.5898000000007</v>
      </c>
      <c r="U142" s="94"/>
      <c r="V142" s="130">
        <f t="shared" si="136"/>
        <v>11362.1522</v>
      </c>
      <c r="W142" s="94"/>
      <c r="X142" s="130">
        <f t="shared" si="137"/>
        <v>18622.4444</v>
      </c>
      <c r="Y142" s="94"/>
      <c r="Z142" s="94">
        <f t="shared" ref="Z142:Z206" si="147">SUM(L142:X142)-J142</f>
        <v>0</v>
      </c>
      <c r="AC142" s="97" t="s">
        <v>429</v>
      </c>
      <c r="AE142" s="112">
        <f t="shared" si="125"/>
        <v>19</v>
      </c>
      <c r="AG142" s="550">
        <f t="shared" si="126"/>
        <v>410186</v>
      </c>
      <c r="AH142" s="267"/>
      <c r="AI142" s="130">
        <f t="shared" si="138"/>
        <v>163746.2512</v>
      </c>
      <c r="AJ142" s="94"/>
      <c r="AK142" s="130">
        <f t="shared" si="139"/>
        <v>79165.898000000001</v>
      </c>
      <c r="AL142" s="94"/>
      <c r="AM142" s="130">
        <f t="shared" si="140"/>
        <v>42700.3626</v>
      </c>
      <c r="AN142" s="94"/>
      <c r="AO142" s="130">
        <f t="shared" si="141"/>
        <v>45161.478600000002</v>
      </c>
      <c r="AP142" s="94"/>
      <c r="AQ142" s="130">
        <f t="shared" si="142"/>
        <v>10910.9476</v>
      </c>
      <c r="AR142" s="94"/>
      <c r="AS142" s="130">
        <f t="shared" si="143"/>
        <v>30312.745399999996</v>
      </c>
      <c r="AT142" s="94"/>
      <c r="AU142" s="130">
        <f t="shared" si="144"/>
        <v>8654.9246000000003</v>
      </c>
      <c r="AV142" s="130"/>
      <c r="AW142" s="130">
        <f t="shared" si="145"/>
        <v>10992.9848</v>
      </c>
      <c r="AX142" s="130"/>
      <c r="AY142" s="130">
        <f t="shared" si="146"/>
        <v>18540.407199999998</v>
      </c>
      <c r="BA142" s="82">
        <f t="shared" si="130"/>
        <v>0</v>
      </c>
      <c r="BB142" s="67"/>
      <c r="BC142" s="67"/>
      <c r="BD142" s="67"/>
    </row>
    <row r="143" spans="1:56" s="340" customFormat="1" x14ac:dyDescent="0.2">
      <c r="A143" s="513"/>
      <c r="B143" s="513"/>
      <c r="C143" s="516"/>
      <c r="D143" s="273">
        <v>675.8</v>
      </c>
      <c r="E143" s="94"/>
      <c r="F143" s="97" t="s">
        <v>510</v>
      </c>
      <c r="G143" s="55"/>
      <c r="H143" s="131">
        <v>15</v>
      </c>
      <c r="I143" s="97"/>
      <c r="J143" s="550">
        <v>69659</v>
      </c>
      <c r="K143" s="267"/>
      <c r="L143" s="130">
        <f t="shared" si="131"/>
        <v>44839.498300000007</v>
      </c>
      <c r="M143" s="94"/>
      <c r="N143" s="130">
        <f t="shared" si="132"/>
        <v>14767.707999999999</v>
      </c>
      <c r="O143" s="94"/>
      <c r="P143" s="130">
        <f t="shared" si="133"/>
        <v>1650.9182999999998</v>
      </c>
      <c r="Q143" s="94"/>
      <c r="R143" s="130">
        <f t="shared" si="134"/>
        <v>3566.5408000000002</v>
      </c>
      <c r="S143" s="94"/>
      <c r="T143" s="130">
        <f t="shared" si="135"/>
        <v>1100.6122</v>
      </c>
      <c r="U143" s="94"/>
      <c r="V143" s="130">
        <f t="shared" si="136"/>
        <v>1957.4178999999999</v>
      </c>
      <c r="W143" s="94"/>
      <c r="X143" s="130">
        <f t="shared" si="137"/>
        <v>1776.3045</v>
      </c>
      <c r="Y143" s="94"/>
      <c r="Z143" s="94">
        <f t="shared" si="147"/>
        <v>0</v>
      </c>
      <c r="AC143" s="97" t="s">
        <v>510</v>
      </c>
      <c r="AE143" s="112">
        <f t="shared" si="125"/>
        <v>15</v>
      </c>
      <c r="AG143" s="550">
        <f t="shared" si="126"/>
        <v>69659</v>
      </c>
      <c r="AH143" s="267"/>
      <c r="AI143" s="130">
        <f t="shared" si="138"/>
        <v>18668.612000000001</v>
      </c>
      <c r="AJ143" s="94"/>
      <c r="AK143" s="130">
        <f t="shared" si="139"/>
        <v>11145.44</v>
      </c>
      <c r="AL143" s="94"/>
      <c r="AM143" s="130">
        <f t="shared" si="140"/>
        <v>5886.1855000000005</v>
      </c>
      <c r="AN143" s="94"/>
      <c r="AO143" s="130">
        <f t="shared" si="141"/>
        <v>11939.552599999999</v>
      </c>
      <c r="AP143" s="94"/>
      <c r="AQ143" s="130">
        <f t="shared" si="142"/>
        <v>2263.9175</v>
      </c>
      <c r="AR143" s="94"/>
      <c r="AS143" s="130">
        <f t="shared" si="143"/>
        <v>11340.485199999999</v>
      </c>
      <c r="AT143" s="94"/>
      <c r="AU143" s="130">
        <f t="shared" si="144"/>
        <v>4834.3346000000001</v>
      </c>
      <c r="AV143" s="130"/>
      <c r="AW143" s="130">
        <f t="shared" si="145"/>
        <v>1804.1680999999999</v>
      </c>
      <c r="AX143" s="130"/>
      <c r="AY143" s="130">
        <f t="shared" si="146"/>
        <v>1776.3045</v>
      </c>
      <c r="BA143" s="82">
        <f t="shared" si="130"/>
        <v>0</v>
      </c>
      <c r="BB143" s="67"/>
      <c r="BC143" s="67"/>
      <c r="BD143" s="67"/>
    </row>
    <row r="144" spans="1:56" s="340" customFormat="1" x14ac:dyDescent="0.2">
      <c r="A144" s="513"/>
      <c r="B144" s="513"/>
      <c r="C144" s="516"/>
      <c r="D144" s="273">
        <v>675.8</v>
      </c>
      <c r="E144" s="94"/>
      <c r="F144" s="97" t="s">
        <v>512</v>
      </c>
      <c r="G144" s="55"/>
      <c r="H144" s="131">
        <v>15</v>
      </c>
      <c r="I144" s="97"/>
      <c r="J144" s="550">
        <v>4468</v>
      </c>
      <c r="K144" s="267"/>
      <c r="L144" s="130">
        <f t="shared" si="131"/>
        <v>2876.0516000000002</v>
      </c>
      <c r="M144" s="94"/>
      <c r="N144" s="130">
        <f t="shared" si="132"/>
        <v>947.21600000000001</v>
      </c>
      <c r="O144" s="94"/>
      <c r="P144" s="130">
        <f t="shared" si="133"/>
        <v>105.8916</v>
      </c>
      <c r="Q144" s="94"/>
      <c r="R144" s="130">
        <f t="shared" si="134"/>
        <v>228.76160000000002</v>
      </c>
      <c r="S144" s="94"/>
      <c r="T144" s="130">
        <f t="shared" si="135"/>
        <v>70.594400000000007</v>
      </c>
      <c r="U144" s="94"/>
      <c r="V144" s="130">
        <f t="shared" si="136"/>
        <v>125.5508</v>
      </c>
      <c r="W144" s="94"/>
      <c r="X144" s="130">
        <f t="shared" si="137"/>
        <v>113.934</v>
      </c>
      <c r="Y144" s="94"/>
      <c r="Z144" s="94">
        <f t="shared" si="147"/>
        <v>0</v>
      </c>
      <c r="AC144" s="97" t="s">
        <v>512</v>
      </c>
      <c r="AE144" s="112">
        <f t="shared" si="125"/>
        <v>15</v>
      </c>
      <c r="AG144" s="550">
        <f t="shared" si="126"/>
        <v>4468</v>
      </c>
      <c r="AH144" s="267"/>
      <c r="AI144" s="130">
        <f t="shared" si="138"/>
        <v>1197.424</v>
      </c>
      <c r="AJ144" s="94"/>
      <c r="AK144" s="130">
        <f t="shared" si="139"/>
        <v>714.88</v>
      </c>
      <c r="AL144" s="94"/>
      <c r="AM144" s="130">
        <f t="shared" si="140"/>
        <v>377.54600000000005</v>
      </c>
      <c r="AN144" s="94"/>
      <c r="AO144" s="130">
        <f t="shared" si="141"/>
        <v>765.8152</v>
      </c>
      <c r="AP144" s="94"/>
      <c r="AQ144" s="130">
        <f t="shared" si="142"/>
        <v>145.21</v>
      </c>
      <c r="AR144" s="94"/>
      <c r="AS144" s="130">
        <f t="shared" si="143"/>
        <v>727.3904</v>
      </c>
      <c r="AT144" s="94"/>
      <c r="AU144" s="130">
        <f t="shared" si="144"/>
        <v>310.07920000000001</v>
      </c>
      <c r="AV144" s="130"/>
      <c r="AW144" s="130">
        <f t="shared" si="145"/>
        <v>115.7212</v>
      </c>
      <c r="AX144" s="130"/>
      <c r="AY144" s="130">
        <f t="shared" si="146"/>
        <v>113.934</v>
      </c>
      <c r="BA144" s="82">
        <f t="shared" si="130"/>
        <v>0</v>
      </c>
      <c r="BB144" s="67"/>
      <c r="BC144" s="67"/>
      <c r="BD144" s="67"/>
    </row>
    <row r="145" spans="1:56" s="340" customFormat="1" x14ac:dyDescent="0.2">
      <c r="A145" s="513"/>
      <c r="B145" s="513"/>
      <c r="C145" s="516"/>
      <c r="D145" s="273">
        <v>675.8</v>
      </c>
      <c r="E145" s="94"/>
      <c r="F145" s="97" t="s">
        <v>514</v>
      </c>
      <c r="G145" s="55"/>
      <c r="H145" s="131">
        <v>15</v>
      </c>
      <c r="I145" s="97"/>
      <c r="J145" s="550">
        <v>61891</v>
      </c>
      <c r="K145" s="267"/>
      <c r="L145" s="130">
        <f t="shared" si="131"/>
        <v>39839.236700000001</v>
      </c>
      <c r="M145" s="94"/>
      <c r="N145" s="130">
        <f t="shared" si="132"/>
        <v>13120.892</v>
      </c>
      <c r="O145" s="94"/>
      <c r="P145" s="130">
        <f t="shared" si="133"/>
        <v>1466.8166999999999</v>
      </c>
      <c r="Q145" s="94"/>
      <c r="R145" s="130">
        <f t="shared" si="134"/>
        <v>3168.8192000000004</v>
      </c>
      <c r="S145" s="94"/>
      <c r="T145" s="130">
        <f t="shared" si="135"/>
        <v>977.87780000000009</v>
      </c>
      <c r="U145" s="94"/>
      <c r="V145" s="130">
        <f t="shared" si="136"/>
        <v>1739.1370999999999</v>
      </c>
      <c r="W145" s="94"/>
      <c r="X145" s="130">
        <f t="shared" si="137"/>
        <v>1578.2204999999999</v>
      </c>
      <c r="Y145" s="94"/>
      <c r="Z145" s="94">
        <f t="shared" si="147"/>
        <v>0</v>
      </c>
      <c r="AC145" s="97" t="s">
        <v>514</v>
      </c>
      <c r="AE145" s="112">
        <f t="shared" si="125"/>
        <v>15</v>
      </c>
      <c r="AG145" s="550">
        <f t="shared" si="126"/>
        <v>61891</v>
      </c>
      <c r="AH145" s="267"/>
      <c r="AI145" s="130">
        <f t="shared" si="138"/>
        <v>16586.788</v>
      </c>
      <c r="AJ145" s="94"/>
      <c r="AK145" s="130">
        <f t="shared" si="139"/>
        <v>9902.56</v>
      </c>
      <c r="AL145" s="94"/>
      <c r="AM145" s="130">
        <f t="shared" si="140"/>
        <v>5229.7895000000008</v>
      </c>
      <c r="AN145" s="94"/>
      <c r="AO145" s="130">
        <f t="shared" si="141"/>
        <v>10608.117399999999</v>
      </c>
      <c r="AP145" s="94"/>
      <c r="AQ145" s="130">
        <f t="shared" si="142"/>
        <v>2011.4575</v>
      </c>
      <c r="AR145" s="94"/>
      <c r="AS145" s="130">
        <f t="shared" si="143"/>
        <v>10075.854799999999</v>
      </c>
      <c r="AT145" s="94"/>
      <c r="AU145" s="130">
        <f t="shared" si="144"/>
        <v>4295.2354000000005</v>
      </c>
      <c r="AV145" s="130"/>
      <c r="AW145" s="130">
        <f t="shared" si="145"/>
        <v>1602.9768999999999</v>
      </c>
      <c r="AX145" s="130"/>
      <c r="AY145" s="130">
        <f t="shared" si="146"/>
        <v>1578.2204999999999</v>
      </c>
      <c r="BA145" s="82">
        <f t="shared" si="130"/>
        <v>0</v>
      </c>
      <c r="BB145" s="67"/>
      <c r="BC145" s="67"/>
      <c r="BD145" s="67"/>
    </row>
    <row r="146" spans="1:56" s="340" customFormat="1" x14ac:dyDescent="0.2">
      <c r="A146" s="513"/>
      <c r="B146" s="513"/>
      <c r="C146" s="516"/>
      <c r="D146" s="273">
        <v>675.8</v>
      </c>
      <c r="E146" s="94"/>
      <c r="F146" s="97" t="s">
        <v>515</v>
      </c>
      <c r="G146" s="55"/>
      <c r="H146" s="131">
        <v>15</v>
      </c>
      <c r="I146" s="97"/>
      <c r="J146" s="550">
        <v>59487</v>
      </c>
      <c r="K146" s="267"/>
      <c r="L146" s="130">
        <f t="shared" si="131"/>
        <v>38291.781900000002</v>
      </c>
      <c r="M146" s="94"/>
      <c r="N146" s="130">
        <f t="shared" si="132"/>
        <v>12611.243999999999</v>
      </c>
      <c r="O146" s="94"/>
      <c r="P146" s="130">
        <f t="shared" si="133"/>
        <v>1409.8418999999999</v>
      </c>
      <c r="Q146" s="94"/>
      <c r="R146" s="130">
        <f t="shared" si="134"/>
        <v>3045.7344000000003</v>
      </c>
      <c r="S146" s="94"/>
      <c r="T146" s="130">
        <f t="shared" si="135"/>
        <v>939.89460000000008</v>
      </c>
      <c r="U146" s="94"/>
      <c r="V146" s="130">
        <f t="shared" si="136"/>
        <v>1671.5847000000001</v>
      </c>
      <c r="W146" s="94"/>
      <c r="X146" s="130">
        <f t="shared" si="137"/>
        <v>1516.9185</v>
      </c>
      <c r="Y146" s="94"/>
      <c r="Z146" s="94">
        <f t="shared" si="147"/>
        <v>0</v>
      </c>
      <c r="AC146" s="97" t="s">
        <v>515</v>
      </c>
      <c r="AE146" s="112">
        <f t="shared" si="125"/>
        <v>15</v>
      </c>
      <c r="AG146" s="550">
        <f t="shared" si="126"/>
        <v>59487</v>
      </c>
      <c r="AH146" s="267"/>
      <c r="AI146" s="130">
        <f t="shared" si="138"/>
        <v>15942.516000000001</v>
      </c>
      <c r="AJ146" s="94"/>
      <c r="AK146" s="130">
        <f t="shared" si="139"/>
        <v>9517.92</v>
      </c>
      <c r="AL146" s="94"/>
      <c r="AM146" s="130">
        <f t="shared" si="140"/>
        <v>5026.6514999999999</v>
      </c>
      <c r="AN146" s="94"/>
      <c r="AO146" s="130">
        <f t="shared" si="141"/>
        <v>10196.0718</v>
      </c>
      <c r="AP146" s="94"/>
      <c r="AQ146" s="130">
        <f t="shared" si="142"/>
        <v>1933.3275000000001</v>
      </c>
      <c r="AR146" s="94"/>
      <c r="AS146" s="130">
        <f t="shared" si="143"/>
        <v>9684.4835999999996</v>
      </c>
      <c r="AT146" s="94"/>
      <c r="AU146" s="130">
        <f t="shared" si="144"/>
        <v>4128.3978000000006</v>
      </c>
      <c r="AV146" s="130"/>
      <c r="AW146" s="130">
        <f t="shared" si="145"/>
        <v>1540.7132999999999</v>
      </c>
      <c r="AX146" s="130"/>
      <c r="AY146" s="130">
        <f t="shared" si="146"/>
        <v>1516.9185</v>
      </c>
      <c r="BA146" s="82">
        <f t="shared" si="130"/>
        <v>0</v>
      </c>
      <c r="BB146" s="67"/>
      <c r="BC146" s="67"/>
      <c r="BD146" s="67"/>
    </row>
    <row r="147" spans="1:56" s="340" customFormat="1" x14ac:dyDescent="0.2">
      <c r="A147" s="513"/>
      <c r="B147" s="513"/>
      <c r="C147" s="516"/>
      <c r="D147" s="273">
        <v>675.8</v>
      </c>
      <c r="E147" s="94"/>
      <c r="F147" s="97" t="s">
        <v>521</v>
      </c>
      <c r="G147" s="55"/>
      <c r="H147" s="131">
        <v>15</v>
      </c>
      <c r="I147" s="97"/>
      <c r="J147" s="550">
        <v>16777</v>
      </c>
      <c r="K147" s="267"/>
      <c r="L147" s="130">
        <f t="shared" si="131"/>
        <v>10799.3549</v>
      </c>
      <c r="M147" s="94"/>
      <c r="N147" s="130">
        <f t="shared" si="132"/>
        <v>3556.7239999999997</v>
      </c>
      <c r="O147" s="94"/>
      <c r="P147" s="130">
        <f t="shared" si="133"/>
        <v>397.61489999999998</v>
      </c>
      <c r="Q147" s="94"/>
      <c r="R147" s="130">
        <f t="shared" si="134"/>
        <v>858.9824000000001</v>
      </c>
      <c r="S147" s="94"/>
      <c r="T147" s="130">
        <f t="shared" si="135"/>
        <v>265.07660000000004</v>
      </c>
      <c r="U147" s="94"/>
      <c r="V147" s="130">
        <f t="shared" si="136"/>
        <v>471.43369999999999</v>
      </c>
      <c r="W147" s="94"/>
      <c r="X147" s="130">
        <f t="shared" si="137"/>
        <v>427.81349999999998</v>
      </c>
      <c r="Y147" s="94"/>
      <c r="Z147" s="94">
        <f t="shared" si="147"/>
        <v>0</v>
      </c>
      <c r="AC147" s="97" t="s">
        <v>521</v>
      </c>
      <c r="AE147" s="112">
        <f t="shared" si="125"/>
        <v>15</v>
      </c>
      <c r="AG147" s="550">
        <f t="shared" si="126"/>
        <v>16777</v>
      </c>
      <c r="AH147" s="267"/>
      <c r="AI147" s="130">
        <f t="shared" si="138"/>
        <v>4496.2359999999999</v>
      </c>
      <c r="AJ147" s="94"/>
      <c r="AK147" s="130">
        <f t="shared" si="139"/>
        <v>2684.32</v>
      </c>
      <c r="AL147" s="94"/>
      <c r="AM147" s="130">
        <f t="shared" si="140"/>
        <v>1417.6565000000001</v>
      </c>
      <c r="AN147" s="94"/>
      <c r="AO147" s="130">
        <f t="shared" si="141"/>
        <v>2875.5778</v>
      </c>
      <c r="AP147" s="94"/>
      <c r="AQ147" s="130">
        <f t="shared" si="142"/>
        <v>545.25250000000005</v>
      </c>
      <c r="AR147" s="94"/>
      <c r="AS147" s="130">
        <f t="shared" si="143"/>
        <v>2731.2955999999999</v>
      </c>
      <c r="AT147" s="94"/>
      <c r="AU147" s="130">
        <f t="shared" si="144"/>
        <v>1164.3238000000001</v>
      </c>
      <c r="AV147" s="130"/>
      <c r="AW147" s="130">
        <f t="shared" si="145"/>
        <v>434.52429999999998</v>
      </c>
      <c r="AX147" s="130"/>
      <c r="AY147" s="130">
        <f t="shared" si="146"/>
        <v>427.81349999999998</v>
      </c>
      <c r="BA147" s="82">
        <f t="shared" si="130"/>
        <v>0</v>
      </c>
      <c r="BB147" s="67"/>
      <c r="BC147" s="67"/>
      <c r="BD147" s="67"/>
    </row>
    <row r="148" spans="1:56" s="340" customFormat="1" x14ac:dyDescent="0.2">
      <c r="A148" s="513"/>
      <c r="B148" s="513"/>
      <c r="C148" s="516"/>
      <c r="D148" s="273">
        <v>675.8</v>
      </c>
      <c r="E148" s="94"/>
      <c r="F148" s="97" t="s">
        <v>524</v>
      </c>
      <c r="G148" s="55"/>
      <c r="H148" s="131">
        <v>15</v>
      </c>
      <c r="I148" s="97"/>
      <c r="J148" s="550">
        <v>15230</v>
      </c>
      <c r="K148" s="267"/>
      <c r="L148" s="130">
        <f t="shared" si="131"/>
        <v>9803.5510000000013</v>
      </c>
      <c r="M148" s="94"/>
      <c r="N148" s="130">
        <f t="shared" si="132"/>
        <v>3228.7599999999998</v>
      </c>
      <c r="O148" s="94"/>
      <c r="P148" s="130">
        <f t="shared" si="133"/>
        <v>360.95099999999996</v>
      </c>
      <c r="Q148" s="94"/>
      <c r="R148" s="130">
        <f t="shared" si="134"/>
        <v>779.77600000000007</v>
      </c>
      <c r="S148" s="94"/>
      <c r="T148" s="130">
        <f t="shared" si="135"/>
        <v>240.63400000000001</v>
      </c>
      <c r="U148" s="94"/>
      <c r="V148" s="130">
        <f t="shared" si="136"/>
        <v>427.96300000000002</v>
      </c>
      <c r="W148" s="94"/>
      <c r="X148" s="130">
        <f t="shared" si="137"/>
        <v>388.36499999999995</v>
      </c>
      <c r="Y148" s="94"/>
      <c r="Z148" s="94">
        <f t="shared" si="147"/>
        <v>0</v>
      </c>
      <c r="AC148" s="97" t="s">
        <v>524</v>
      </c>
      <c r="AE148" s="112">
        <f t="shared" si="125"/>
        <v>15</v>
      </c>
      <c r="AG148" s="550">
        <f t="shared" si="126"/>
        <v>15230</v>
      </c>
      <c r="AH148" s="267"/>
      <c r="AI148" s="130">
        <f t="shared" si="138"/>
        <v>4081.6400000000003</v>
      </c>
      <c r="AJ148" s="94"/>
      <c r="AK148" s="130">
        <f t="shared" si="139"/>
        <v>2436.8000000000002</v>
      </c>
      <c r="AL148" s="94"/>
      <c r="AM148" s="130">
        <f t="shared" si="140"/>
        <v>1286.9350000000002</v>
      </c>
      <c r="AN148" s="94"/>
      <c r="AO148" s="130">
        <f t="shared" si="141"/>
        <v>2610.422</v>
      </c>
      <c r="AP148" s="94"/>
      <c r="AQ148" s="130">
        <f t="shared" si="142"/>
        <v>494.97500000000002</v>
      </c>
      <c r="AR148" s="94"/>
      <c r="AS148" s="130">
        <f t="shared" si="143"/>
        <v>2479.444</v>
      </c>
      <c r="AT148" s="94"/>
      <c r="AU148" s="130">
        <f t="shared" si="144"/>
        <v>1056.962</v>
      </c>
      <c r="AV148" s="130"/>
      <c r="AW148" s="130">
        <f t="shared" si="145"/>
        <v>394.45699999999999</v>
      </c>
      <c r="AX148" s="130"/>
      <c r="AY148" s="130">
        <f t="shared" si="146"/>
        <v>388.36499999999995</v>
      </c>
      <c r="BA148" s="82">
        <f t="shared" si="130"/>
        <v>0</v>
      </c>
      <c r="BB148" s="67"/>
      <c r="BC148" s="67"/>
      <c r="BD148" s="67"/>
    </row>
    <row r="149" spans="1:56" s="340" customFormat="1" x14ac:dyDescent="0.2">
      <c r="A149" s="513"/>
      <c r="B149" s="513"/>
      <c r="C149" s="516"/>
      <c r="D149" s="273">
        <v>675.8</v>
      </c>
      <c r="E149" s="94"/>
      <c r="F149" s="97" t="s">
        <v>528</v>
      </c>
      <c r="G149" s="55"/>
      <c r="H149" s="131">
        <v>15</v>
      </c>
      <c r="I149" s="97"/>
      <c r="J149" s="550">
        <v>105562</v>
      </c>
      <c r="K149" s="267"/>
      <c r="L149" s="130">
        <f t="shared" si="131"/>
        <v>67950.25940000001</v>
      </c>
      <c r="M149" s="94"/>
      <c r="N149" s="130">
        <f t="shared" si="132"/>
        <v>22379.144</v>
      </c>
      <c r="O149" s="94"/>
      <c r="P149" s="130">
        <f t="shared" si="133"/>
        <v>2501.8193999999999</v>
      </c>
      <c r="Q149" s="94"/>
      <c r="R149" s="130">
        <f t="shared" si="134"/>
        <v>5404.7744000000002</v>
      </c>
      <c r="S149" s="94"/>
      <c r="T149" s="130">
        <f t="shared" si="135"/>
        <v>1667.8796000000002</v>
      </c>
      <c r="U149" s="94"/>
      <c r="V149" s="130">
        <f t="shared" si="136"/>
        <v>2966.2921999999999</v>
      </c>
      <c r="W149" s="94"/>
      <c r="X149" s="130">
        <f t="shared" si="137"/>
        <v>2691.8309999999997</v>
      </c>
      <c r="Y149" s="94"/>
      <c r="Z149" s="94">
        <f t="shared" si="147"/>
        <v>0</v>
      </c>
      <c r="AC149" s="97" t="s">
        <v>528</v>
      </c>
      <c r="AE149" s="112">
        <f t="shared" si="125"/>
        <v>15</v>
      </c>
      <c r="AG149" s="550">
        <f t="shared" si="126"/>
        <v>105562</v>
      </c>
      <c r="AH149" s="267"/>
      <c r="AI149" s="130">
        <f t="shared" si="138"/>
        <v>28290.616000000002</v>
      </c>
      <c r="AJ149" s="94"/>
      <c r="AK149" s="130">
        <f t="shared" si="139"/>
        <v>16889.920000000002</v>
      </c>
      <c r="AL149" s="94"/>
      <c r="AM149" s="130">
        <f t="shared" si="140"/>
        <v>8919.9890000000014</v>
      </c>
      <c r="AN149" s="94"/>
      <c r="AO149" s="130">
        <f t="shared" si="141"/>
        <v>18093.326799999999</v>
      </c>
      <c r="AP149" s="94"/>
      <c r="AQ149" s="130">
        <f t="shared" si="142"/>
        <v>3430.7650000000003</v>
      </c>
      <c r="AR149" s="94"/>
      <c r="AS149" s="130">
        <f t="shared" si="143"/>
        <v>17185.493600000002</v>
      </c>
      <c r="AT149" s="94"/>
      <c r="AU149" s="130">
        <f t="shared" si="144"/>
        <v>7326.0028000000002</v>
      </c>
      <c r="AV149" s="130"/>
      <c r="AW149" s="130">
        <f t="shared" si="145"/>
        <v>2734.0558000000001</v>
      </c>
      <c r="AX149" s="130"/>
      <c r="AY149" s="130">
        <f t="shared" si="146"/>
        <v>2691.8309999999997</v>
      </c>
      <c r="BA149" s="82">
        <f t="shared" si="130"/>
        <v>0</v>
      </c>
      <c r="BB149" s="67"/>
      <c r="BC149" s="67"/>
      <c r="BD149" s="67"/>
    </row>
    <row r="150" spans="1:56" s="340" customFormat="1" x14ac:dyDescent="0.2">
      <c r="A150" s="513"/>
      <c r="B150" s="513"/>
      <c r="C150" s="516"/>
      <c r="D150" s="273">
        <v>675.8</v>
      </c>
      <c r="E150" s="94"/>
      <c r="F150" s="97" t="s">
        <v>602</v>
      </c>
      <c r="G150" s="55"/>
      <c r="H150" s="131">
        <v>15</v>
      </c>
      <c r="I150" s="97"/>
      <c r="J150" s="550">
        <v>9102</v>
      </c>
      <c r="K150" s="267"/>
      <c r="L150" s="130">
        <f t="shared" si="131"/>
        <v>5858.9574000000002</v>
      </c>
      <c r="M150" s="94"/>
      <c r="N150" s="130">
        <f t="shared" si="132"/>
        <v>1929.624</v>
      </c>
      <c r="O150" s="94"/>
      <c r="P150" s="130">
        <f t="shared" si="133"/>
        <v>215.7174</v>
      </c>
      <c r="Q150" s="94"/>
      <c r="R150" s="130">
        <f t="shared" si="134"/>
        <v>466.0224</v>
      </c>
      <c r="S150" s="94"/>
      <c r="T150" s="130">
        <f t="shared" si="135"/>
        <v>143.81160000000003</v>
      </c>
      <c r="U150" s="94"/>
      <c r="V150" s="130">
        <f t="shared" si="136"/>
        <v>255.7662</v>
      </c>
      <c r="W150" s="94"/>
      <c r="X150" s="130">
        <f t="shared" si="137"/>
        <v>232.101</v>
      </c>
      <c r="Y150" s="94"/>
      <c r="Z150" s="94">
        <f t="shared" si="147"/>
        <v>0</v>
      </c>
      <c r="AC150" s="97" t="s">
        <v>581</v>
      </c>
      <c r="AE150" s="112">
        <f t="shared" si="125"/>
        <v>15</v>
      </c>
      <c r="AG150" s="550">
        <f t="shared" ref="AG150" si="148">+J150</f>
        <v>9102</v>
      </c>
      <c r="AH150" s="267"/>
      <c r="AI150" s="130">
        <f t="shared" si="138"/>
        <v>2439.3360000000002</v>
      </c>
      <c r="AJ150" s="94"/>
      <c r="AK150" s="130">
        <f t="shared" si="139"/>
        <v>1456.32</v>
      </c>
      <c r="AL150" s="94"/>
      <c r="AM150" s="130">
        <f t="shared" si="140"/>
        <v>769.11900000000003</v>
      </c>
      <c r="AN150" s="94"/>
      <c r="AO150" s="130">
        <f t="shared" si="141"/>
        <v>1560.0827999999999</v>
      </c>
      <c r="AP150" s="94"/>
      <c r="AQ150" s="130">
        <f t="shared" si="142"/>
        <v>295.815</v>
      </c>
      <c r="AR150" s="94"/>
      <c r="AS150" s="130">
        <f t="shared" si="143"/>
        <v>1481.8055999999999</v>
      </c>
      <c r="AT150" s="94"/>
      <c r="AU150" s="130">
        <f t="shared" si="144"/>
        <v>631.67880000000002</v>
      </c>
      <c r="AV150" s="130"/>
      <c r="AW150" s="130">
        <f t="shared" si="145"/>
        <v>235.74179999999998</v>
      </c>
      <c r="AX150" s="130"/>
      <c r="AY150" s="130">
        <f t="shared" si="146"/>
        <v>232.101</v>
      </c>
      <c r="BA150" s="82">
        <f t="shared" ref="BA150" si="149">SUM(AI150:AY150)-AG150</f>
        <v>0</v>
      </c>
      <c r="BB150" s="67"/>
      <c r="BC150" s="67"/>
      <c r="BD150" s="67"/>
    </row>
    <row r="151" spans="1:56" s="340" customFormat="1" x14ac:dyDescent="0.2">
      <c r="A151" s="681"/>
      <c r="B151" s="513"/>
      <c r="C151" s="516"/>
      <c r="D151" s="273">
        <v>675.8</v>
      </c>
      <c r="E151" s="94"/>
      <c r="F151" s="97" t="s">
        <v>487</v>
      </c>
      <c r="G151" s="55"/>
      <c r="H151" s="131" t="s">
        <v>544</v>
      </c>
      <c r="I151" s="97"/>
      <c r="J151" s="550">
        <v>11764</v>
      </c>
      <c r="K151" s="267"/>
      <c r="L151" s="130">
        <f>+J151</f>
        <v>11764</v>
      </c>
      <c r="M151" s="94"/>
      <c r="N151" s="130">
        <v>0</v>
      </c>
      <c r="O151" s="94"/>
      <c r="P151" s="130">
        <v>0</v>
      </c>
      <c r="Q151" s="94"/>
      <c r="R151" s="130">
        <v>0</v>
      </c>
      <c r="S151" s="94"/>
      <c r="T151" s="130">
        <v>0</v>
      </c>
      <c r="U151" s="94"/>
      <c r="V151" s="130">
        <v>0</v>
      </c>
      <c r="W151" s="94"/>
      <c r="X151" s="130">
        <v>0</v>
      </c>
      <c r="Y151" s="94"/>
      <c r="Z151" s="94">
        <f t="shared" si="147"/>
        <v>0</v>
      </c>
      <c r="AC151" s="97" t="s">
        <v>487</v>
      </c>
      <c r="AE151" s="281" t="str">
        <f t="shared" si="125"/>
        <v>DA</v>
      </c>
      <c r="AG151" s="550">
        <f t="shared" si="126"/>
        <v>11764</v>
      </c>
      <c r="AH151" s="267"/>
      <c r="AI151" s="130">
        <v>0</v>
      </c>
      <c r="AJ151" s="94"/>
      <c r="AK151" s="130">
        <v>0</v>
      </c>
      <c r="AL151" s="94"/>
      <c r="AM151" s="130">
        <v>0</v>
      </c>
      <c r="AN151" s="94"/>
      <c r="AO151" s="130">
        <v>0</v>
      </c>
      <c r="AP151" s="94"/>
      <c r="AQ151" s="130">
        <v>0</v>
      </c>
      <c r="AR151" s="94"/>
      <c r="AS151" s="130">
        <f>+AG151</f>
        <v>11764</v>
      </c>
      <c r="AT151" s="94"/>
      <c r="AU151" s="130">
        <v>0</v>
      </c>
      <c r="AV151" s="130"/>
      <c r="AW151" s="130">
        <v>0</v>
      </c>
      <c r="AX151" s="130"/>
      <c r="AY151" s="130">
        <v>0</v>
      </c>
      <c r="BA151" s="82">
        <f t="shared" si="130"/>
        <v>0</v>
      </c>
      <c r="BB151" s="67"/>
      <c r="BC151" s="67"/>
      <c r="BD151" s="67"/>
    </row>
    <row r="152" spans="1:56" s="340" customFormat="1" x14ac:dyDescent="0.2">
      <c r="A152" s="518"/>
      <c r="B152" s="513"/>
      <c r="C152" s="516"/>
      <c r="D152" s="273">
        <v>675.8</v>
      </c>
      <c r="E152" s="94"/>
      <c r="F152" s="97" t="s">
        <v>430</v>
      </c>
      <c r="G152" s="55"/>
      <c r="H152" s="131">
        <v>15</v>
      </c>
      <c r="I152" s="97"/>
      <c r="J152" s="550">
        <v>363757</v>
      </c>
      <c r="K152" s="267"/>
      <c r="L152" s="130">
        <f t="shared" ref="L152:L159" si="150">(VLOOKUP($H152,Factors,L$378))*$J152</f>
        <v>234150.38090000002</v>
      </c>
      <c r="M152" s="94"/>
      <c r="N152" s="130">
        <f t="shared" ref="N152:N159" si="151">(VLOOKUP($H152,Factors,N$378))*$J152</f>
        <v>77116.483999999997</v>
      </c>
      <c r="O152" s="94"/>
      <c r="P152" s="130">
        <f t="shared" ref="P152:P159" si="152">(VLOOKUP($H152,Factors,P$378))*$J152</f>
        <v>8621.0409</v>
      </c>
      <c r="Q152" s="94"/>
      <c r="R152" s="130">
        <f t="shared" ref="R152:R159" si="153">(VLOOKUP($H152,Factors,R$378))*$J152</f>
        <v>18624.358400000001</v>
      </c>
      <c r="S152" s="94"/>
      <c r="T152" s="130">
        <f t="shared" ref="T152:T159" si="154">(VLOOKUP($H152,Factors,T$378))*$J152</f>
        <v>5747.3606000000009</v>
      </c>
      <c r="U152" s="94"/>
      <c r="V152" s="130">
        <f t="shared" ref="V152:V159" si="155">(VLOOKUP($H152,Factors,V$378))*$J152</f>
        <v>10221.5717</v>
      </c>
      <c r="W152" s="94"/>
      <c r="X152" s="130">
        <f t="shared" ref="X152:X159" si="156">(VLOOKUP($H152,Factors,X$378))*$J152</f>
        <v>9275.8035</v>
      </c>
      <c r="Y152" s="94"/>
      <c r="Z152" s="94">
        <f t="shared" si="147"/>
        <v>0</v>
      </c>
      <c r="AC152" s="97" t="s">
        <v>430</v>
      </c>
      <c r="AE152" s="112">
        <f t="shared" si="125"/>
        <v>15</v>
      </c>
      <c r="AG152" s="550">
        <f t="shared" si="126"/>
        <v>363757</v>
      </c>
      <c r="AH152" s="267"/>
      <c r="AI152" s="130">
        <f t="shared" ref="AI152:AI159" si="157">(VLOOKUP($AE152,func,AI$378))*$AG152</f>
        <v>97486.876000000004</v>
      </c>
      <c r="AJ152" s="94"/>
      <c r="AK152" s="130">
        <f t="shared" ref="AK152:AK159" si="158">(VLOOKUP($AE152,func,AK$378))*$AG152</f>
        <v>58201.120000000003</v>
      </c>
      <c r="AL152" s="94"/>
      <c r="AM152" s="130">
        <f t="shared" ref="AM152:AM159" si="159">(VLOOKUP($AE152,func,AM$378))*$AG152</f>
        <v>30737.466500000002</v>
      </c>
      <c r="AN152" s="94"/>
      <c r="AO152" s="130">
        <f t="shared" ref="AO152:AO159" si="160">(VLOOKUP($AE152,func,AO$378))*$AG152</f>
        <v>62347.949800000002</v>
      </c>
      <c r="AP152" s="94"/>
      <c r="AQ152" s="130">
        <f t="shared" ref="AQ152:AQ159" si="161">(VLOOKUP($AE152,func,AQ$378))*$AG152</f>
        <v>11822.102500000001</v>
      </c>
      <c r="AR152" s="94"/>
      <c r="AS152" s="130">
        <f t="shared" ref="AS152:AS159" si="162">(VLOOKUP($AE152,func,AS$378))*$AG152</f>
        <v>59219.639600000002</v>
      </c>
      <c r="AT152" s="94"/>
      <c r="AU152" s="130">
        <f t="shared" ref="AU152:AU159" si="163">(VLOOKUP($AE152,func,AU$378))*$AG152</f>
        <v>25244.735800000002</v>
      </c>
      <c r="AV152" s="130"/>
      <c r="AW152" s="130">
        <f t="shared" ref="AW152:AW159" si="164">(VLOOKUP($AE152,func,AW$378))*$AG152</f>
        <v>9421.3063000000002</v>
      </c>
      <c r="AX152" s="130"/>
      <c r="AY152" s="130">
        <f t="shared" ref="AY152:AY159" si="165">(VLOOKUP($AE152,func,AY$378))*$AG152</f>
        <v>9275.8035</v>
      </c>
      <c r="BA152" s="82">
        <f t="shared" si="130"/>
        <v>0</v>
      </c>
      <c r="BB152" s="67"/>
      <c r="BC152" s="67"/>
      <c r="BD152" s="67"/>
    </row>
    <row r="153" spans="1:56" s="340" customFormat="1" x14ac:dyDescent="0.2">
      <c r="A153" s="680"/>
      <c r="B153" s="513"/>
      <c r="C153" s="516"/>
      <c r="D153" s="273">
        <v>675.8</v>
      </c>
      <c r="E153" s="94"/>
      <c r="F153" s="97" t="s">
        <v>603</v>
      </c>
      <c r="G153" s="55"/>
      <c r="H153" s="131">
        <v>15</v>
      </c>
      <c r="I153" s="97"/>
      <c r="J153" s="550">
        <v>154444</v>
      </c>
      <c r="K153" s="267"/>
      <c r="L153" s="130">
        <f t="shared" si="150"/>
        <v>99415.602800000008</v>
      </c>
      <c r="M153" s="94"/>
      <c r="N153" s="130">
        <f t="shared" si="151"/>
        <v>32742.128000000001</v>
      </c>
      <c r="O153" s="94"/>
      <c r="P153" s="130">
        <f t="shared" si="152"/>
        <v>3660.3227999999999</v>
      </c>
      <c r="Q153" s="94"/>
      <c r="R153" s="130">
        <f t="shared" si="153"/>
        <v>7907.5328</v>
      </c>
      <c r="S153" s="94"/>
      <c r="T153" s="130">
        <f t="shared" si="154"/>
        <v>2440.2152000000001</v>
      </c>
      <c r="U153" s="94"/>
      <c r="V153" s="130">
        <f t="shared" si="155"/>
        <v>4339.8764000000001</v>
      </c>
      <c r="W153" s="94"/>
      <c r="X153" s="130">
        <f t="shared" si="156"/>
        <v>3938.3219999999997</v>
      </c>
      <c r="Y153" s="94"/>
      <c r="Z153" s="94">
        <f t="shared" si="147"/>
        <v>0</v>
      </c>
      <c r="AC153" s="97" t="s">
        <v>603</v>
      </c>
      <c r="AE153" s="112">
        <f t="shared" ref="AE153" si="166">+H153</f>
        <v>15</v>
      </c>
      <c r="AG153" s="550">
        <f t="shared" ref="AG153" si="167">+J153</f>
        <v>154444</v>
      </c>
      <c r="AH153" s="267"/>
      <c r="AI153" s="130">
        <f t="shared" si="157"/>
        <v>41390.992000000006</v>
      </c>
      <c r="AJ153" s="94"/>
      <c r="AK153" s="130">
        <f t="shared" si="158"/>
        <v>24711.040000000001</v>
      </c>
      <c r="AL153" s="94"/>
      <c r="AM153" s="130">
        <f t="shared" si="159"/>
        <v>13050.518</v>
      </c>
      <c r="AN153" s="94"/>
      <c r="AO153" s="130">
        <f t="shared" si="160"/>
        <v>26471.7016</v>
      </c>
      <c r="AP153" s="94"/>
      <c r="AQ153" s="130">
        <f t="shared" si="161"/>
        <v>5019.43</v>
      </c>
      <c r="AR153" s="94"/>
      <c r="AS153" s="130">
        <f t="shared" si="162"/>
        <v>25143.483199999999</v>
      </c>
      <c r="AT153" s="94"/>
      <c r="AU153" s="130">
        <f t="shared" si="163"/>
        <v>10718.4136</v>
      </c>
      <c r="AV153" s="130"/>
      <c r="AW153" s="130">
        <f t="shared" si="164"/>
        <v>4000.0996</v>
      </c>
      <c r="AX153" s="130"/>
      <c r="AY153" s="130">
        <f t="shared" si="165"/>
        <v>3938.3219999999997</v>
      </c>
      <c r="BA153" s="82">
        <f t="shared" ref="BA153" si="168">SUM(AI153:AY153)-AG153</f>
        <v>0</v>
      </c>
      <c r="BB153" s="67"/>
      <c r="BC153" s="67"/>
      <c r="BD153" s="67"/>
    </row>
    <row r="154" spans="1:56" s="340" customFormat="1" x14ac:dyDescent="0.2">
      <c r="A154" s="513"/>
      <c r="B154" s="513"/>
      <c r="C154" s="516"/>
      <c r="D154" s="273">
        <v>675.8</v>
      </c>
      <c r="E154" s="94"/>
      <c r="F154" s="97" t="s">
        <v>486</v>
      </c>
      <c r="G154" s="55"/>
      <c r="H154" s="131">
        <v>16</v>
      </c>
      <c r="I154" s="97"/>
      <c r="J154" s="550">
        <v>0</v>
      </c>
      <c r="K154" s="267"/>
      <c r="L154" s="130">
        <f t="shared" si="150"/>
        <v>0</v>
      </c>
      <c r="M154" s="94"/>
      <c r="N154" s="130">
        <f t="shared" si="151"/>
        <v>0</v>
      </c>
      <c r="O154" s="94"/>
      <c r="P154" s="130">
        <f t="shared" si="152"/>
        <v>0</v>
      </c>
      <c r="Q154" s="94"/>
      <c r="R154" s="130">
        <f t="shared" si="153"/>
        <v>0</v>
      </c>
      <c r="S154" s="94"/>
      <c r="T154" s="130">
        <f t="shared" si="154"/>
        <v>0</v>
      </c>
      <c r="U154" s="94"/>
      <c r="V154" s="130">
        <f t="shared" si="155"/>
        <v>0</v>
      </c>
      <c r="W154" s="94"/>
      <c r="X154" s="130">
        <f t="shared" si="156"/>
        <v>0</v>
      </c>
      <c r="Y154" s="94"/>
      <c r="Z154" s="94">
        <f t="shared" si="147"/>
        <v>0</v>
      </c>
      <c r="AC154" s="97" t="s">
        <v>486</v>
      </c>
      <c r="AE154" s="112">
        <f t="shared" si="125"/>
        <v>16</v>
      </c>
      <c r="AG154" s="550">
        <f t="shared" si="126"/>
        <v>0</v>
      </c>
      <c r="AH154" s="267"/>
      <c r="AI154" s="130">
        <f t="shared" si="157"/>
        <v>0</v>
      </c>
      <c r="AJ154" s="94"/>
      <c r="AK154" s="130">
        <f t="shared" si="158"/>
        <v>0</v>
      </c>
      <c r="AL154" s="94"/>
      <c r="AM154" s="130">
        <f t="shared" si="159"/>
        <v>0</v>
      </c>
      <c r="AN154" s="94"/>
      <c r="AO154" s="130">
        <f t="shared" si="160"/>
        <v>0</v>
      </c>
      <c r="AP154" s="94"/>
      <c r="AQ154" s="130">
        <f t="shared" si="161"/>
        <v>0</v>
      </c>
      <c r="AR154" s="94"/>
      <c r="AS154" s="130">
        <f t="shared" si="162"/>
        <v>0</v>
      </c>
      <c r="AT154" s="94"/>
      <c r="AU154" s="130">
        <f t="shared" si="163"/>
        <v>0</v>
      </c>
      <c r="AV154" s="130"/>
      <c r="AW154" s="130">
        <f t="shared" si="164"/>
        <v>0</v>
      </c>
      <c r="AX154" s="130"/>
      <c r="AY154" s="130">
        <f t="shared" si="165"/>
        <v>0</v>
      </c>
      <c r="BA154" s="82">
        <f t="shared" si="130"/>
        <v>0</v>
      </c>
      <c r="BB154" s="67"/>
      <c r="BC154" s="67"/>
      <c r="BD154" s="67"/>
    </row>
    <row r="155" spans="1:56" s="340" customFormat="1" x14ac:dyDescent="0.2">
      <c r="A155" s="513"/>
      <c r="B155" s="513"/>
      <c r="C155" s="516"/>
      <c r="D155" s="273">
        <v>675.8</v>
      </c>
      <c r="E155" s="94"/>
      <c r="F155" s="97" t="s">
        <v>495</v>
      </c>
      <c r="G155" s="55"/>
      <c r="H155" s="131">
        <v>16</v>
      </c>
      <c r="I155" s="97"/>
      <c r="J155" s="550">
        <v>199691</v>
      </c>
      <c r="K155" s="267"/>
      <c r="L155" s="130">
        <f t="shared" si="150"/>
        <v>122909.81050000001</v>
      </c>
      <c r="M155" s="94"/>
      <c r="N155" s="130">
        <f t="shared" si="151"/>
        <v>47246.890599999999</v>
      </c>
      <c r="O155" s="94"/>
      <c r="P155" s="130">
        <f t="shared" si="152"/>
        <v>5591.348</v>
      </c>
      <c r="Q155" s="94"/>
      <c r="R155" s="130">
        <f t="shared" si="153"/>
        <v>12181.151</v>
      </c>
      <c r="S155" s="94"/>
      <c r="T155" s="130">
        <f t="shared" si="154"/>
        <v>3754.1908000000003</v>
      </c>
      <c r="U155" s="94"/>
      <c r="V155" s="130">
        <f t="shared" si="155"/>
        <v>3854.0363000000002</v>
      </c>
      <c r="W155" s="94"/>
      <c r="X155" s="130">
        <f t="shared" si="156"/>
        <v>4153.5727999999999</v>
      </c>
      <c r="Y155" s="94"/>
      <c r="Z155" s="94">
        <f t="shared" si="147"/>
        <v>0</v>
      </c>
      <c r="AC155" s="97" t="s">
        <v>495</v>
      </c>
      <c r="AE155" s="112">
        <f t="shared" si="125"/>
        <v>16</v>
      </c>
      <c r="AG155" s="550">
        <f t="shared" si="126"/>
        <v>199691</v>
      </c>
      <c r="AH155" s="267"/>
      <c r="AI155" s="130">
        <f t="shared" si="157"/>
        <v>65039.358699999997</v>
      </c>
      <c r="AJ155" s="94"/>
      <c r="AK155" s="130">
        <f t="shared" si="158"/>
        <v>43432.792500000003</v>
      </c>
      <c r="AL155" s="94"/>
      <c r="AM155" s="130">
        <f t="shared" si="159"/>
        <v>11322.4797</v>
      </c>
      <c r="AN155" s="94"/>
      <c r="AO155" s="130">
        <f t="shared" si="160"/>
        <v>44650.907599999999</v>
      </c>
      <c r="AP155" s="94"/>
      <c r="AQ155" s="130">
        <f t="shared" si="161"/>
        <v>9445.3842999999997</v>
      </c>
      <c r="AR155" s="94"/>
      <c r="AS155" s="130">
        <f t="shared" si="162"/>
        <v>19569.718000000001</v>
      </c>
      <c r="AT155" s="94"/>
      <c r="AU155" s="130">
        <f t="shared" si="163"/>
        <v>-1637.4662000000001</v>
      </c>
      <c r="AV155" s="130"/>
      <c r="AW155" s="130">
        <f t="shared" si="164"/>
        <v>3714.2525999999998</v>
      </c>
      <c r="AX155" s="130"/>
      <c r="AY155" s="130">
        <f t="shared" si="165"/>
        <v>4153.5727999999999</v>
      </c>
      <c r="BA155" s="82">
        <f t="shared" si="130"/>
        <v>0</v>
      </c>
      <c r="BB155" s="67"/>
      <c r="BC155" s="67"/>
      <c r="BD155" s="67"/>
    </row>
    <row r="156" spans="1:56" s="340" customFormat="1" x14ac:dyDescent="0.2">
      <c r="A156" s="513"/>
      <c r="B156" s="513"/>
      <c r="C156" s="516"/>
      <c r="D156" s="273">
        <v>675.8</v>
      </c>
      <c r="E156" s="94"/>
      <c r="F156" s="97" t="s">
        <v>497</v>
      </c>
      <c r="G156" s="55"/>
      <c r="H156" s="131">
        <v>15</v>
      </c>
      <c r="I156" s="97"/>
      <c r="J156" s="550">
        <v>165127</v>
      </c>
      <c r="K156" s="267"/>
      <c r="L156" s="130">
        <f t="shared" si="150"/>
        <v>106292.24990000001</v>
      </c>
      <c r="M156" s="94"/>
      <c r="N156" s="130">
        <f t="shared" si="151"/>
        <v>35006.923999999999</v>
      </c>
      <c r="O156" s="94"/>
      <c r="P156" s="130">
        <f t="shared" si="152"/>
        <v>3913.5099</v>
      </c>
      <c r="Q156" s="94"/>
      <c r="R156" s="130">
        <f t="shared" si="153"/>
        <v>8454.5024000000012</v>
      </c>
      <c r="S156" s="94"/>
      <c r="T156" s="130">
        <f t="shared" si="154"/>
        <v>2609.0066000000002</v>
      </c>
      <c r="U156" s="94"/>
      <c r="V156" s="130">
        <f t="shared" si="155"/>
        <v>4640.0686999999998</v>
      </c>
      <c r="W156" s="94"/>
      <c r="X156" s="130">
        <f t="shared" si="156"/>
        <v>4210.7384999999995</v>
      </c>
      <c r="Y156" s="94"/>
      <c r="Z156" s="94">
        <f t="shared" si="147"/>
        <v>0</v>
      </c>
      <c r="AC156" s="97" t="s">
        <v>497</v>
      </c>
      <c r="AE156" s="112">
        <f t="shared" si="125"/>
        <v>15</v>
      </c>
      <c r="AG156" s="550">
        <f t="shared" si="126"/>
        <v>165127</v>
      </c>
      <c r="AH156" s="267"/>
      <c r="AI156" s="130">
        <f t="shared" si="157"/>
        <v>44254.036</v>
      </c>
      <c r="AJ156" s="94"/>
      <c r="AK156" s="130">
        <f t="shared" si="158"/>
        <v>26420.32</v>
      </c>
      <c r="AL156" s="94"/>
      <c r="AM156" s="130">
        <f t="shared" si="159"/>
        <v>13953.231500000002</v>
      </c>
      <c r="AN156" s="94"/>
      <c r="AO156" s="130">
        <f t="shared" si="160"/>
        <v>28302.767799999998</v>
      </c>
      <c r="AP156" s="94"/>
      <c r="AQ156" s="130">
        <f t="shared" si="161"/>
        <v>5366.6275000000005</v>
      </c>
      <c r="AR156" s="94"/>
      <c r="AS156" s="130">
        <f t="shared" si="162"/>
        <v>26882.675599999999</v>
      </c>
      <c r="AT156" s="94"/>
      <c r="AU156" s="130">
        <f t="shared" si="163"/>
        <v>11459.8138</v>
      </c>
      <c r="AV156" s="130"/>
      <c r="AW156" s="130">
        <f t="shared" si="164"/>
        <v>4276.7892999999995</v>
      </c>
      <c r="AX156" s="130"/>
      <c r="AY156" s="130">
        <f t="shared" si="165"/>
        <v>4210.7384999999995</v>
      </c>
      <c r="BA156" s="82">
        <f t="shared" si="130"/>
        <v>0</v>
      </c>
      <c r="BB156" s="67"/>
      <c r="BC156" s="67"/>
      <c r="BD156" s="67"/>
    </row>
    <row r="157" spans="1:56" s="340" customFormat="1" ht="12" customHeight="1" x14ac:dyDescent="0.2">
      <c r="A157" s="513"/>
      <c r="B157" s="513"/>
      <c r="C157" s="516"/>
      <c r="D157" s="273">
        <v>675.8</v>
      </c>
      <c r="E157" s="94"/>
      <c r="F157" s="97" t="s">
        <v>638</v>
      </c>
      <c r="G157" s="55"/>
      <c r="H157" s="131">
        <v>15</v>
      </c>
      <c r="I157" s="97"/>
      <c r="J157" s="515">
        <v>88772</v>
      </c>
      <c r="K157" s="267"/>
      <c r="L157" s="130">
        <f t="shared" si="150"/>
        <v>57142.536400000005</v>
      </c>
      <c r="M157" s="94"/>
      <c r="N157" s="130">
        <f t="shared" si="151"/>
        <v>18819.664000000001</v>
      </c>
      <c r="O157" s="94"/>
      <c r="P157" s="130">
        <f t="shared" si="152"/>
        <v>2103.8964000000001</v>
      </c>
      <c r="Q157" s="94"/>
      <c r="R157" s="130">
        <f t="shared" si="153"/>
        <v>4545.1264000000001</v>
      </c>
      <c r="S157" s="94"/>
      <c r="T157" s="130">
        <f t="shared" si="154"/>
        <v>1402.5976000000001</v>
      </c>
      <c r="U157" s="94"/>
      <c r="V157" s="130">
        <f t="shared" si="155"/>
        <v>2494.4931999999999</v>
      </c>
      <c r="W157" s="94"/>
      <c r="X157" s="130">
        <f t="shared" si="156"/>
        <v>2263.6859999999997</v>
      </c>
      <c r="Y157" s="265"/>
      <c r="Z157" s="94">
        <f t="shared" si="147"/>
        <v>0</v>
      </c>
      <c r="AA157" s="68"/>
      <c r="AB157" s="68"/>
      <c r="AC157" s="97" t="s">
        <v>496</v>
      </c>
      <c r="AD157" s="68"/>
      <c r="AE157" s="280">
        <f t="shared" si="125"/>
        <v>15</v>
      </c>
      <c r="AF157" s="68"/>
      <c r="AG157" s="515">
        <f t="shared" si="126"/>
        <v>88772</v>
      </c>
      <c r="AH157" s="267"/>
      <c r="AI157" s="130">
        <f t="shared" si="157"/>
        <v>23790.896000000001</v>
      </c>
      <c r="AJ157" s="94"/>
      <c r="AK157" s="130">
        <f t="shared" si="158"/>
        <v>14203.52</v>
      </c>
      <c r="AL157" s="94"/>
      <c r="AM157" s="130">
        <f t="shared" si="159"/>
        <v>7501.2340000000004</v>
      </c>
      <c r="AN157" s="94"/>
      <c r="AO157" s="130">
        <f t="shared" si="160"/>
        <v>15215.5208</v>
      </c>
      <c r="AP157" s="94"/>
      <c r="AQ157" s="130">
        <f t="shared" si="161"/>
        <v>2885.09</v>
      </c>
      <c r="AR157" s="94"/>
      <c r="AS157" s="130">
        <f t="shared" si="162"/>
        <v>14452.0816</v>
      </c>
      <c r="AT157" s="94"/>
      <c r="AU157" s="130">
        <f t="shared" si="163"/>
        <v>6160.7768000000005</v>
      </c>
      <c r="AV157" s="130"/>
      <c r="AW157" s="130">
        <f t="shared" si="164"/>
        <v>2299.1947999999998</v>
      </c>
      <c r="AX157" s="130"/>
      <c r="AY157" s="130">
        <f t="shared" si="165"/>
        <v>2263.6859999999997</v>
      </c>
      <c r="BA157" s="82">
        <f t="shared" si="130"/>
        <v>0</v>
      </c>
      <c r="BB157" s="67"/>
      <c r="BC157" s="67"/>
      <c r="BD157" s="67"/>
    </row>
    <row r="158" spans="1:56" s="340" customFormat="1" ht="12" customHeight="1" x14ac:dyDescent="0.2">
      <c r="A158" s="513"/>
      <c r="B158" s="513"/>
      <c r="C158" s="516"/>
      <c r="D158" s="273">
        <v>675.8</v>
      </c>
      <c r="E158" s="94"/>
      <c r="F158" s="97" t="s">
        <v>518</v>
      </c>
      <c r="G158" s="55"/>
      <c r="H158" s="131">
        <v>15</v>
      </c>
      <c r="I158" s="97"/>
      <c r="J158" s="515">
        <v>11956</v>
      </c>
      <c r="K158" s="267"/>
      <c r="L158" s="130">
        <f t="shared" si="150"/>
        <v>7696.0772000000006</v>
      </c>
      <c r="M158" s="94"/>
      <c r="N158" s="130">
        <f t="shared" si="151"/>
        <v>2534.672</v>
      </c>
      <c r="O158" s="94"/>
      <c r="P158" s="130">
        <f t="shared" si="152"/>
        <v>283.35719999999998</v>
      </c>
      <c r="Q158" s="94"/>
      <c r="R158" s="130">
        <f t="shared" si="153"/>
        <v>612.1472</v>
      </c>
      <c r="S158" s="94"/>
      <c r="T158" s="130">
        <f t="shared" si="154"/>
        <v>188.90480000000002</v>
      </c>
      <c r="U158" s="94"/>
      <c r="V158" s="130">
        <f t="shared" si="155"/>
        <v>335.96359999999999</v>
      </c>
      <c r="W158" s="94"/>
      <c r="X158" s="130">
        <f t="shared" si="156"/>
        <v>304.87799999999999</v>
      </c>
      <c r="Y158" s="265"/>
      <c r="Z158" s="94">
        <f t="shared" si="147"/>
        <v>0</v>
      </c>
      <c r="AA158" s="68"/>
      <c r="AB158" s="68"/>
      <c r="AC158" s="97" t="s">
        <v>518</v>
      </c>
      <c r="AD158" s="68"/>
      <c r="AE158" s="280">
        <f t="shared" si="125"/>
        <v>15</v>
      </c>
      <c r="AF158" s="68"/>
      <c r="AG158" s="515">
        <f t="shared" si="126"/>
        <v>11956</v>
      </c>
      <c r="AH158" s="267"/>
      <c r="AI158" s="130">
        <f t="shared" si="157"/>
        <v>3204.2080000000001</v>
      </c>
      <c r="AJ158" s="94"/>
      <c r="AK158" s="130">
        <f t="shared" si="158"/>
        <v>1912.96</v>
      </c>
      <c r="AL158" s="94"/>
      <c r="AM158" s="130">
        <f t="shared" si="159"/>
        <v>1010.282</v>
      </c>
      <c r="AN158" s="94"/>
      <c r="AO158" s="130">
        <f t="shared" si="160"/>
        <v>2049.2584000000002</v>
      </c>
      <c r="AP158" s="94"/>
      <c r="AQ158" s="130">
        <f t="shared" si="161"/>
        <v>388.57</v>
      </c>
      <c r="AR158" s="94"/>
      <c r="AS158" s="130">
        <f t="shared" si="162"/>
        <v>1946.4367999999999</v>
      </c>
      <c r="AT158" s="94"/>
      <c r="AU158" s="130">
        <f t="shared" si="163"/>
        <v>829.74639999999999</v>
      </c>
      <c r="AV158" s="130"/>
      <c r="AW158" s="130">
        <f t="shared" si="164"/>
        <v>309.66039999999998</v>
      </c>
      <c r="AX158" s="130"/>
      <c r="AY158" s="130">
        <f t="shared" si="165"/>
        <v>304.87799999999999</v>
      </c>
      <c r="BA158" s="82">
        <f t="shared" si="130"/>
        <v>0</v>
      </c>
      <c r="BB158" s="67"/>
      <c r="BC158" s="67"/>
      <c r="BD158" s="67"/>
    </row>
    <row r="159" spans="1:56" s="340" customFormat="1" ht="12" customHeight="1" x14ac:dyDescent="0.2">
      <c r="A159" s="513"/>
      <c r="B159" s="513"/>
      <c r="C159" s="516"/>
      <c r="D159" s="273">
        <v>675.8</v>
      </c>
      <c r="E159" s="94"/>
      <c r="F159" s="97" t="s">
        <v>504</v>
      </c>
      <c r="G159" s="55"/>
      <c r="H159" s="131">
        <v>15</v>
      </c>
      <c r="I159" s="97"/>
      <c r="J159" s="553">
        <v>374071</v>
      </c>
      <c r="K159" s="267"/>
      <c r="L159" s="506">
        <f t="shared" si="150"/>
        <v>240789.50270000001</v>
      </c>
      <c r="M159" s="267"/>
      <c r="N159" s="506">
        <f t="shared" si="151"/>
        <v>79303.051999999996</v>
      </c>
      <c r="O159" s="267"/>
      <c r="P159" s="506">
        <f t="shared" si="152"/>
        <v>8865.4827000000005</v>
      </c>
      <c r="Q159" s="267"/>
      <c r="R159" s="506">
        <f t="shared" si="153"/>
        <v>19152.4352</v>
      </c>
      <c r="S159" s="267"/>
      <c r="T159" s="506">
        <f t="shared" si="154"/>
        <v>5910.3218000000006</v>
      </c>
      <c r="U159" s="267"/>
      <c r="V159" s="506">
        <f t="shared" si="155"/>
        <v>10511.3951</v>
      </c>
      <c r="W159" s="267"/>
      <c r="X159" s="506">
        <f t="shared" si="156"/>
        <v>9538.8104999999996</v>
      </c>
      <c r="Y159" s="265"/>
      <c r="Z159" s="94">
        <f t="shared" si="147"/>
        <v>0</v>
      </c>
      <c r="AA159" s="68"/>
      <c r="AB159" s="68"/>
      <c r="AC159" s="97" t="s">
        <v>504</v>
      </c>
      <c r="AD159" s="68"/>
      <c r="AE159" s="280">
        <f t="shared" si="125"/>
        <v>15</v>
      </c>
      <c r="AF159" s="68"/>
      <c r="AG159" s="553">
        <f t="shared" si="126"/>
        <v>374071</v>
      </c>
      <c r="AH159" s="267"/>
      <c r="AI159" s="506">
        <f t="shared" si="157"/>
        <v>100251.02800000001</v>
      </c>
      <c r="AJ159" s="267"/>
      <c r="AK159" s="506">
        <f t="shared" si="158"/>
        <v>59851.360000000001</v>
      </c>
      <c r="AL159" s="267"/>
      <c r="AM159" s="506">
        <f t="shared" si="159"/>
        <v>31608.999500000002</v>
      </c>
      <c r="AN159" s="267"/>
      <c r="AO159" s="506">
        <f t="shared" si="160"/>
        <v>64115.769399999997</v>
      </c>
      <c r="AP159" s="267"/>
      <c r="AQ159" s="506">
        <f t="shared" si="161"/>
        <v>12157.307500000001</v>
      </c>
      <c r="AR159" s="267"/>
      <c r="AS159" s="506">
        <f t="shared" si="162"/>
        <v>60898.758800000003</v>
      </c>
      <c r="AT159" s="267"/>
      <c r="AU159" s="506">
        <f t="shared" si="163"/>
        <v>25960.527400000003</v>
      </c>
      <c r="AV159" s="267"/>
      <c r="AW159" s="506">
        <f t="shared" si="164"/>
        <v>9688.4388999999992</v>
      </c>
      <c r="AX159" s="267"/>
      <c r="AY159" s="506">
        <f t="shared" si="165"/>
        <v>9538.8104999999996</v>
      </c>
      <c r="BA159" s="82">
        <f t="shared" si="130"/>
        <v>0</v>
      </c>
      <c r="BB159" s="67"/>
      <c r="BC159" s="67"/>
      <c r="BD159" s="67"/>
    </row>
    <row r="160" spans="1:56" s="340" customFormat="1" ht="12" customHeight="1" x14ac:dyDescent="0.2">
      <c r="A160" s="513"/>
      <c r="B160" s="513"/>
      <c r="C160" s="516"/>
      <c r="D160" s="273"/>
      <c r="E160" s="94"/>
      <c r="F160" s="97"/>
      <c r="G160" s="55"/>
      <c r="H160" s="131"/>
      <c r="I160" s="97"/>
      <c r="J160" s="515"/>
      <c r="K160" s="267"/>
      <c r="L160" s="267"/>
      <c r="M160" s="267"/>
      <c r="N160" s="267"/>
      <c r="O160" s="267"/>
      <c r="P160" s="267"/>
      <c r="Q160" s="267"/>
      <c r="R160" s="267"/>
      <c r="S160" s="267"/>
      <c r="T160" s="267"/>
      <c r="U160" s="267"/>
      <c r="V160" s="267"/>
      <c r="W160" s="267"/>
      <c r="X160" s="267"/>
      <c r="Y160" s="265"/>
      <c r="Z160" s="94">
        <f t="shared" si="147"/>
        <v>0</v>
      </c>
      <c r="AA160" s="68"/>
      <c r="AB160" s="68"/>
      <c r="AC160" s="97"/>
      <c r="AD160" s="68"/>
      <c r="AE160" s="280"/>
      <c r="AF160" s="68"/>
      <c r="AG160" s="515"/>
      <c r="AH160" s="267"/>
      <c r="AI160" s="267"/>
      <c r="AJ160" s="267"/>
      <c r="AK160" s="267"/>
      <c r="AL160" s="267"/>
      <c r="AM160" s="267"/>
      <c r="AN160" s="267"/>
      <c r="AO160" s="267"/>
      <c r="AP160" s="267"/>
      <c r="AQ160" s="267"/>
      <c r="AR160" s="267"/>
      <c r="AS160" s="267"/>
      <c r="AT160" s="267"/>
      <c r="AU160" s="267"/>
      <c r="AV160" s="267"/>
      <c r="AW160" s="267"/>
      <c r="AX160" s="267"/>
      <c r="AY160" s="267"/>
      <c r="BA160" s="82">
        <f t="shared" si="130"/>
        <v>0</v>
      </c>
      <c r="BB160" s="67"/>
      <c r="BC160" s="67"/>
      <c r="BD160" s="67"/>
    </row>
    <row r="161" spans="1:56" s="340" customFormat="1" x14ac:dyDescent="0.2">
      <c r="A161" s="513"/>
      <c r="B161" s="513"/>
      <c r="C161" s="516"/>
      <c r="D161" s="273"/>
      <c r="E161" s="94"/>
      <c r="F161" s="97" t="s">
        <v>51</v>
      </c>
      <c r="G161" s="55"/>
      <c r="H161" s="131"/>
      <c r="I161" s="97"/>
      <c r="J161" s="553">
        <f>SUM(J127:J160)</f>
        <v>15997299.182794586</v>
      </c>
      <c r="K161" s="130"/>
      <c r="L161" s="553">
        <f>SUM(L127:L160)</f>
        <v>10630082.530570105</v>
      </c>
      <c r="M161" s="130"/>
      <c r="N161" s="553">
        <f>SUM(N127:N160)</f>
        <v>3241259.2269260823</v>
      </c>
      <c r="O161" s="130"/>
      <c r="P161" s="553">
        <f>SUM(P127:P160)</f>
        <v>356285.25539040926</v>
      </c>
      <c r="Q161" s="130"/>
      <c r="R161" s="553">
        <f>SUM(R127:R160)</f>
        <v>781858.10566792067</v>
      </c>
      <c r="S161" s="130"/>
      <c r="T161" s="553">
        <f>SUM(T127:T160)</f>
        <v>237893.16664743677</v>
      </c>
      <c r="U161" s="130"/>
      <c r="V161" s="553">
        <f>SUM(V127:V160)</f>
        <v>402568.21871007397</v>
      </c>
      <c r="W161" s="130"/>
      <c r="X161" s="553">
        <f>SUM(X127:X160)</f>
        <v>347352.67888255691</v>
      </c>
      <c r="Z161" s="94">
        <f t="shared" si="147"/>
        <v>0</v>
      </c>
      <c r="AC161" s="97" t="s">
        <v>51</v>
      </c>
      <c r="AD161" s="55"/>
      <c r="AE161" s="131"/>
      <c r="AF161" s="97"/>
      <c r="AG161" s="553">
        <f>SUM(AG127:AG160)</f>
        <v>15997299.182794586</v>
      </c>
      <c r="AH161" s="130"/>
      <c r="AI161" s="553">
        <f>SUM(AI127:AI160)</f>
        <v>4125432.6854292792</v>
      </c>
      <c r="AJ161" s="130"/>
      <c r="AK161" s="553">
        <f>SUM(AK127:AK160)</f>
        <v>2474999.5989037631</v>
      </c>
      <c r="AL161" s="130"/>
      <c r="AM161" s="553">
        <f>SUM(AM127:AM160)</f>
        <v>1081461.5144051763</v>
      </c>
      <c r="AN161" s="130"/>
      <c r="AO161" s="553">
        <f>SUM(AO127:AO160)</f>
        <v>2575101.1655117427</v>
      </c>
      <c r="AP161" s="130"/>
      <c r="AQ161" s="553">
        <f>SUM(AQ127:AQ160)</f>
        <v>509717.06897191447</v>
      </c>
      <c r="AR161" s="130"/>
      <c r="AS161" s="553">
        <f>SUM(AS127:AS160)</f>
        <v>3856647.0497055151</v>
      </c>
      <c r="AT161" s="130"/>
      <c r="AU161" s="553">
        <f>SUM(AU127:AU160)</f>
        <v>648492.02878278296</v>
      </c>
      <c r="AV161" s="130"/>
      <c r="AW161" s="553">
        <f>SUM(AW127:AW160)</f>
        <v>378177.42940185475</v>
      </c>
      <c r="AX161" s="130"/>
      <c r="AY161" s="553">
        <f>SUM(AY127:AY160)</f>
        <v>347270.64168255695</v>
      </c>
      <c r="BA161" s="82">
        <f t="shared" si="130"/>
        <v>0</v>
      </c>
      <c r="BB161" s="67"/>
      <c r="BC161" s="67"/>
      <c r="BD161" s="67"/>
    </row>
    <row r="162" spans="1:56" s="340" customFormat="1" x14ac:dyDescent="0.2">
      <c r="A162" s="513"/>
      <c r="B162" s="513"/>
      <c r="C162" s="516"/>
      <c r="D162" s="273"/>
      <c r="E162" s="94"/>
      <c r="F162" s="97" t="s">
        <v>52</v>
      </c>
      <c r="G162" s="55"/>
      <c r="H162" s="131"/>
      <c r="I162" s="97"/>
      <c r="J162" s="550"/>
      <c r="K162" s="267"/>
      <c r="L162" s="267"/>
      <c r="M162" s="265"/>
      <c r="N162" s="267"/>
      <c r="O162" s="265"/>
      <c r="P162" s="267"/>
      <c r="Q162" s="265"/>
      <c r="R162" s="267"/>
      <c r="S162" s="265"/>
      <c r="T162" s="267"/>
      <c r="U162" s="265"/>
      <c r="V162" s="267"/>
      <c r="W162" s="265"/>
      <c r="X162" s="267"/>
      <c r="Z162" s="94">
        <f t="shared" si="147"/>
        <v>0</v>
      </c>
      <c r="AC162" s="97" t="s">
        <v>52</v>
      </c>
      <c r="AD162" s="55"/>
      <c r="AE162" s="131"/>
      <c r="AF162" s="97"/>
      <c r="AG162" s="550"/>
      <c r="AH162" s="267"/>
      <c r="AI162" s="267"/>
      <c r="AJ162" s="265"/>
      <c r="AK162" s="267"/>
      <c r="AL162" s="265"/>
      <c r="AM162" s="267"/>
      <c r="AN162" s="265"/>
      <c r="AO162" s="267"/>
      <c r="AP162" s="265"/>
      <c r="AQ162" s="267"/>
      <c r="AR162" s="265"/>
      <c r="AS162" s="267"/>
      <c r="AT162" s="265"/>
      <c r="AU162" s="267"/>
      <c r="AV162" s="265"/>
      <c r="AW162" s="267"/>
      <c r="AX162" s="265"/>
      <c r="AY162" s="267"/>
      <c r="BA162" s="82">
        <f t="shared" si="130"/>
        <v>0</v>
      </c>
      <c r="BB162" s="67"/>
      <c r="BC162" s="67"/>
      <c r="BD162" s="67"/>
    </row>
    <row r="163" spans="1:56" s="340" customFormat="1" ht="7.15" customHeight="1" x14ac:dyDescent="0.2">
      <c r="A163" s="513"/>
      <c r="B163" s="513"/>
      <c r="C163" s="516"/>
      <c r="D163" s="273"/>
      <c r="E163" s="94"/>
      <c r="F163" s="97"/>
      <c r="G163" s="55"/>
      <c r="H163" s="131"/>
      <c r="I163" s="97"/>
      <c r="J163" s="550"/>
      <c r="K163" s="267"/>
      <c r="L163" s="267"/>
      <c r="M163" s="265"/>
      <c r="N163" s="267"/>
      <c r="O163" s="265"/>
      <c r="P163" s="267"/>
      <c r="Q163" s="265"/>
      <c r="R163" s="267"/>
      <c r="S163" s="265"/>
      <c r="T163" s="267"/>
      <c r="U163" s="265"/>
      <c r="V163" s="267"/>
      <c r="W163" s="265"/>
      <c r="X163" s="267"/>
      <c r="Z163" s="94">
        <f t="shared" si="147"/>
        <v>0</v>
      </c>
      <c r="AC163" s="97"/>
      <c r="AD163" s="55"/>
      <c r="AE163" s="131"/>
      <c r="AF163" s="97"/>
      <c r="AG163" s="550"/>
      <c r="AH163" s="267"/>
      <c r="AI163" s="267"/>
      <c r="AJ163" s="265"/>
      <c r="AK163" s="267"/>
      <c r="AL163" s="265"/>
      <c r="AM163" s="267"/>
      <c r="AN163" s="265"/>
      <c r="AO163" s="267"/>
      <c r="AP163" s="265"/>
      <c r="AQ163" s="267"/>
      <c r="AR163" s="265"/>
      <c r="AS163" s="267"/>
      <c r="AT163" s="265"/>
      <c r="AU163" s="267"/>
      <c r="AV163" s="265"/>
      <c r="AW163" s="267"/>
      <c r="AX163" s="265"/>
      <c r="AY163" s="267"/>
      <c r="BA163" s="82">
        <f t="shared" si="130"/>
        <v>0</v>
      </c>
      <c r="BB163" s="67"/>
      <c r="BC163" s="67"/>
      <c r="BD163" s="67"/>
    </row>
    <row r="164" spans="1:56" s="340" customFormat="1" x14ac:dyDescent="0.2">
      <c r="A164" s="511"/>
      <c r="B164" s="684"/>
      <c r="C164" s="684"/>
      <c r="D164" s="273"/>
      <c r="E164" s="94"/>
      <c r="F164" s="97" t="s">
        <v>53</v>
      </c>
      <c r="G164" s="55"/>
      <c r="H164" s="131"/>
      <c r="I164" s="97"/>
      <c r="J164" s="550"/>
      <c r="K164" s="130"/>
      <c r="L164" s="550"/>
      <c r="M164" s="130"/>
      <c r="N164" s="550"/>
      <c r="O164" s="130"/>
      <c r="P164" s="550"/>
      <c r="Q164" s="130"/>
      <c r="R164" s="550"/>
      <c r="S164" s="130"/>
      <c r="T164" s="550"/>
      <c r="U164" s="130"/>
      <c r="V164" s="550"/>
      <c r="W164" s="130"/>
      <c r="X164" s="550"/>
      <c r="Z164" s="94">
        <f t="shared" si="147"/>
        <v>0</v>
      </c>
      <c r="AC164" s="97" t="s">
        <v>53</v>
      </c>
      <c r="AD164" s="55"/>
      <c r="AE164" s="131"/>
      <c r="AF164" s="97"/>
      <c r="AG164" s="550"/>
      <c r="AH164" s="130"/>
      <c r="AI164" s="550"/>
      <c r="AJ164" s="130"/>
      <c r="AK164" s="550"/>
      <c r="AL164" s="130"/>
      <c r="AM164" s="550"/>
      <c r="AN164" s="130"/>
      <c r="AO164" s="550"/>
      <c r="AP164" s="130"/>
      <c r="AQ164" s="550"/>
      <c r="AR164" s="130"/>
      <c r="AS164" s="550"/>
      <c r="AT164" s="130"/>
      <c r="AU164" s="550"/>
      <c r="AV164" s="130"/>
      <c r="AW164" s="550"/>
      <c r="AX164" s="130"/>
      <c r="AY164" s="550"/>
      <c r="BA164" s="82">
        <f t="shared" si="130"/>
        <v>0</v>
      </c>
      <c r="BB164" s="67"/>
      <c r="BC164" s="67"/>
      <c r="BD164" s="67"/>
    </row>
    <row r="165" spans="1:56" s="340" customFormat="1" x14ac:dyDescent="0.2">
      <c r="A165" s="511"/>
      <c r="B165" s="684"/>
      <c r="C165" s="516"/>
      <c r="D165" s="273"/>
      <c r="E165" s="94"/>
      <c r="F165" s="97" t="s">
        <v>52</v>
      </c>
      <c r="G165" s="55"/>
      <c r="H165" s="131"/>
      <c r="I165" s="97"/>
      <c r="J165" s="651">
        <f>+J23+J29+J65+J104+J122+J161</f>
        <v>37988689.646303073</v>
      </c>
      <c r="K165" s="648"/>
      <c r="L165" s="651">
        <f t="shared" ref="L165" si="169">+L23+L29+L65+L104+L122+L161</f>
        <v>23520413.761664223</v>
      </c>
      <c r="M165" s="648"/>
      <c r="N165" s="651">
        <f t="shared" ref="N165" si="170">+N23+N29+N65+N104+N122+N161</f>
        <v>8775886.8500803728</v>
      </c>
      <c r="O165" s="648"/>
      <c r="P165" s="651">
        <f t="shared" ref="P165" si="171">+P23+P29+P65+P104+P122+P161</f>
        <v>1103333.4774185433</v>
      </c>
      <c r="Q165" s="648"/>
      <c r="R165" s="651">
        <f t="shared" ref="R165" si="172">+R23+R29+R65+R104+R122+R161</f>
        <v>2283062.431565206</v>
      </c>
      <c r="S165" s="648"/>
      <c r="T165" s="651">
        <f t="shared" ref="T165" si="173">+T23+T29+T65+T104+T122+T161</f>
        <v>744877.51355204952</v>
      </c>
      <c r="U165" s="648"/>
      <c r="V165" s="651">
        <f t="shared" ref="V165" si="174">+V23+V29+V65+V104+V122+V161</f>
        <v>826674.83667500352</v>
      </c>
      <c r="W165" s="648"/>
      <c r="X165" s="651">
        <f t="shared" ref="X165" si="175">+X23+X29+X65+X104+X122+X161</f>
        <v>734440.77534766681</v>
      </c>
      <c r="Z165" s="94">
        <f t="shared" si="147"/>
        <v>0</v>
      </c>
      <c r="AC165" s="97" t="s">
        <v>52</v>
      </c>
      <c r="AD165" s="55"/>
      <c r="AE165" s="131"/>
      <c r="AF165" s="97"/>
      <c r="AG165" s="553">
        <f>+AG23+AG29+AG65+AG104+AG122+AG161</f>
        <v>37988689.646303073</v>
      </c>
      <c r="AH165" s="130"/>
      <c r="AI165" s="553">
        <f t="shared" ref="AI165" si="176">+AI23+AI29+AI65+AI104+AI122+AI161</f>
        <v>15661794.462164359</v>
      </c>
      <c r="AJ165" s="130"/>
      <c r="AK165" s="553">
        <f t="shared" ref="AK165" si="177">+AK23+AK29+AK65+AK104+AK122+AK161</f>
        <v>4749196.5758719929</v>
      </c>
      <c r="AL165" s="130"/>
      <c r="AM165" s="553">
        <f t="shared" ref="AM165" si="178">+AM23+AM29+AM65+AM104+AM122+AM161</f>
        <v>2282769.6407670379</v>
      </c>
      <c r="AN165" s="130"/>
      <c r="AO165" s="553">
        <f t="shared" ref="AO165" si="179">+AO23+AO29+AO65+AO104+AO122+AO161</f>
        <v>5012249.3888290441</v>
      </c>
      <c r="AP165" s="130"/>
      <c r="AQ165" s="553">
        <f t="shared" ref="AQ165" si="180">+AQ23+AQ29+AQ65+AQ104+AQ122+AQ161</f>
        <v>971740.11782265245</v>
      </c>
      <c r="AR165" s="130"/>
      <c r="AS165" s="553">
        <f t="shared" ref="AS165" si="181">+AS23+AS29+AS65+AS104+AS122+AS161</f>
        <v>6171046.5658268407</v>
      </c>
      <c r="AT165" s="130"/>
      <c r="AU165" s="553">
        <f t="shared" ref="AU165" si="182">+AU23+AU29+AU65+AU104+AU122+AU161</f>
        <v>1635423.7618280207</v>
      </c>
      <c r="AV165" s="130"/>
      <c r="AW165" s="553">
        <f t="shared" ref="AW165" si="183">+AW23+AW29+AW65+AW104+AW122+AW161</f>
        <v>770106.85444545653</v>
      </c>
      <c r="AX165" s="130"/>
      <c r="AY165" s="553">
        <f t="shared" ref="AY165" si="184">+AY23+AY29+AY65+AY104+AY122+AY161</f>
        <v>734362.27874766686</v>
      </c>
      <c r="BA165" s="82">
        <f t="shared" si="130"/>
        <v>0</v>
      </c>
      <c r="BB165" s="67"/>
      <c r="BC165" s="67"/>
      <c r="BD165" s="67"/>
    </row>
    <row r="166" spans="1:56" s="340" customFormat="1" x14ac:dyDescent="0.2">
      <c r="A166" s="511"/>
      <c r="B166" s="512"/>
      <c r="C166" s="516"/>
      <c r="D166" s="274"/>
      <c r="E166" s="265"/>
      <c r="F166" s="215"/>
      <c r="G166" s="90"/>
      <c r="H166" s="524"/>
      <c r="I166" s="97"/>
      <c r="J166" s="267"/>
      <c r="K166" s="267"/>
      <c r="L166" s="267"/>
      <c r="M166" s="265"/>
      <c r="N166" s="267"/>
      <c r="O166" s="265"/>
      <c r="P166" s="267"/>
      <c r="Q166" s="265"/>
      <c r="R166" s="267"/>
      <c r="S166" s="265"/>
      <c r="T166" s="267"/>
      <c r="U166" s="265"/>
      <c r="V166" s="267"/>
      <c r="W166" s="265"/>
      <c r="X166" s="267"/>
      <c r="Z166" s="94">
        <f t="shared" si="147"/>
        <v>0</v>
      </c>
      <c r="AC166" s="215"/>
      <c r="AD166" s="90"/>
      <c r="AE166" s="524"/>
      <c r="AF166" s="97"/>
      <c r="AG166" s="267"/>
      <c r="AH166" s="267"/>
      <c r="AI166" s="267"/>
      <c r="AJ166" s="265"/>
      <c r="AK166" s="267"/>
      <c r="AL166" s="265"/>
      <c r="AM166" s="267"/>
      <c r="AN166" s="265"/>
      <c r="AO166" s="267"/>
      <c r="AP166" s="265"/>
      <c r="AQ166" s="267"/>
      <c r="AR166" s="265"/>
      <c r="AS166" s="267"/>
      <c r="AT166" s="265"/>
      <c r="AU166" s="267"/>
      <c r="AV166" s="265"/>
      <c r="AW166" s="267"/>
      <c r="AX166" s="265"/>
      <c r="AY166" s="267"/>
      <c r="BA166" s="82">
        <f t="shared" si="130"/>
        <v>0</v>
      </c>
      <c r="BB166" s="67"/>
      <c r="BC166" s="67"/>
      <c r="BD166" s="67"/>
    </row>
    <row r="167" spans="1:56" s="340" customFormat="1" x14ac:dyDescent="0.2">
      <c r="A167" s="511"/>
      <c r="B167" s="512"/>
      <c r="C167" s="516"/>
      <c r="D167" s="273"/>
      <c r="E167" s="94"/>
      <c r="F167" s="218" t="s">
        <v>54</v>
      </c>
      <c r="G167" s="55"/>
      <c r="H167" s="131"/>
      <c r="I167" s="97"/>
      <c r="J167" s="267"/>
      <c r="K167" s="267"/>
      <c r="L167" s="267"/>
      <c r="M167" s="265"/>
      <c r="N167" s="267"/>
      <c r="O167" s="265"/>
      <c r="P167" s="267"/>
      <c r="Q167" s="265"/>
      <c r="R167" s="267"/>
      <c r="S167" s="265"/>
      <c r="T167" s="267"/>
      <c r="U167" s="265"/>
      <c r="V167" s="267"/>
      <c r="W167" s="265"/>
      <c r="X167" s="267"/>
      <c r="Z167" s="94">
        <f t="shared" si="147"/>
        <v>0</v>
      </c>
      <c r="AC167" s="218" t="s">
        <v>54</v>
      </c>
      <c r="AE167" s="112"/>
      <c r="AG167" s="267"/>
      <c r="AH167" s="267"/>
      <c r="AI167" s="267"/>
      <c r="AJ167" s="265"/>
      <c r="AK167" s="267"/>
      <c r="AL167" s="265"/>
      <c r="AM167" s="267"/>
      <c r="AN167" s="265"/>
      <c r="AO167" s="267"/>
      <c r="AP167" s="265"/>
      <c r="AQ167" s="267"/>
      <c r="AR167" s="265"/>
      <c r="AS167" s="267"/>
      <c r="AT167" s="265"/>
      <c r="AU167" s="267"/>
      <c r="AV167" s="265"/>
      <c r="AW167" s="267"/>
      <c r="AX167" s="265"/>
      <c r="AY167" s="267"/>
      <c r="BA167" s="82">
        <f t="shared" si="130"/>
        <v>0</v>
      </c>
      <c r="BB167" s="67"/>
      <c r="BC167" s="67"/>
      <c r="BD167" s="67"/>
    </row>
    <row r="168" spans="1:56" s="340" customFormat="1" ht="4.1500000000000004" customHeight="1" x14ac:dyDescent="0.2">
      <c r="A168" s="513"/>
      <c r="B168" s="513"/>
      <c r="C168" s="516"/>
      <c r="D168" s="273"/>
      <c r="E168" s="94"/>
      <c r="F168" s="97" t="s">
        <v>351</v>
      </c>
      <c r="G168" s="55"/>
      <c r="H168" s="131"/>
      <c r="I168" s="97"/>
      <c r="J168" s="267"/>
      <c r="K168" s="267"/>
      <c r="L168" s="267"/>
      <c r="M168" s="265"/>
      <c r="N168" s="267"/>
      <c r="O168" s="265"/>
      <c r="P168" s="267"/>
      <c r="Q168" s="265"/>
      <c r="R168" s="267"/>
      <c r="S168" s="265"/>
      <c r="T168" s="267"/>
      <c r="U168" s="265"/>
      <c r="V168" s="267"/>
      <c r="W168" s="265"/>
      <c r="X168" s="267"/>
      <c r="Z168" s="94">
        <f t="shared" si="147"/>
        <v>0</v>
      </c>
      <c r="AC168" s="97" t="s">
        <v>351</v>
      </c>
      <c r="AE168" s="112"/>
      <c r="AG168" s="267"/>
      <c r="AH168" s="267"/>
      <c r="AI168" s="267"/>
      <c r="AJ168" s="265"/>
      <c r="AK168" s="267"/>
      <c r="AL168" s="265"/>
      <c r="AM168" s="267"/>
      <c r="AN168" s="265"/>
      <c r="AO168" s="267"/>
      <c r="AP168" s="265"/>
      <c r="AQ168" s="267"/>
      <c r="AR168" s="265"/>
      <c r="AS168" s="267"/>
      <c r="AT168" s="265"/>
      <c r="AU168" s="267"/>
      <c r="AV168" s="265"/>
      <c r="AW168" s="267"/>
      <c r="AX168" s="265"/>
      <c r="AY168" s="267"/>
      <c r="BA168" s="82">
        <f t="shared" si="130"/>
        <v>0</v>
      </c>
      <c r="BB168" s="67"/>
      <c r="BC168" s="67"/>
      <c r="BD168" s="67"/>
    </row>
    <row r="169" spans="1:56" s="340" customFormat="1" x14ac:dyDescent="0.2">
      <c r="A169" s="513"/>
      <c r="B169" s="513"/>
      <c r="C169" s="516"/>
      <c r="D169" s="273"/>
      <c r="E169" s="94"/>
      <c r="F169" s="97" t="s">
        <v>431</v>
      </c>
      <c r="G169" s="55"/>
      <c r="H169" s="131">
        <v>17</v>
      </c>
      <c r="I169" s="97"/>
      <c r="J169" s="652">
        <v>100040.26573611115</v>
      </c>
      <c r="K169" s="653"/>
      <c r="L169" s="648">
        <f t="shared" ref="L169:L189" si="185">(VLOOKUP($H169,Factors,L$378))*$J169</f>
        <v>50610.370435898629</v>
      </c>
      <c r="M169" s="649"/>
      <c r="N169" s="648">
        <f t="shared" ref="N169:N189" si="186">(VLOOKUP($H169,Factors,N$378))*$J169</f>
        <v>27591.105290019455</v>
      </c>
      <c r="O169" s="649"/>
      <c r="P169" s="648">
        <f t="shared" ref="P169:P189" si="187">(VLOOKUP($H169,Factors,P$378))*$J169</f>
        <v>2911.1717329208345</v>
      </c>
      <c r="Q169" s="649"/>
      <c r="R169" s="648">
        <f t="shared" ref="R169:R189" si="188">(VLOOKUP($H169,Factors,R$378))*$J169</f>
        <v>7272.9273190152808</v>
      </c>
      <c r="S169" s="649"/>
      <c r="T169" s="648">
        <f t="shared" ref="T169:T189" si="189">(VLOOKUP($H169,Factors,T$378))*$J169</f>
        <v>1940.7811552805563</v>
      </c>
      <c r="U169" s="649"/>
      <c r="V169" s="648">
        <f t="shared" ref="V169:V189" si="190">(VLOOKUP($H169,Factors,V$378))*$J169</f>
        <v>3271.3166895708346</v>
      </c>
      <c r="W169" s="649"/>
      <c r="X169" s="648">
        <f t="shared" ref="X169:X189" si="191">(VLOOKUP($H169,Factors,X$378))*$J169</f>
        <v>6442.5931134055581</v>
      </c>
      <c r="Y169" s="94"/>
      <c r="Z169" s="94">
        <f t="shared" si="147"/>
        <v>0</v>
      </c>
      <c r="AC169" s="97" t="s">
        <v>431</v>
      </c>
      <c r="AE169" s="112">
        <f t="shared" ref="AE169:AE229" si="192">+H169</f>
        <v>17</v>
      </c>
      <c r="AG169" s="550">
        <f t="shared" ref="AG169:AG229" si="193">+J169</f>
        <v>100040.26573611115</v>
      </c>
      <c r="AH169" s="267"/>
      <c r="AI169" s="130">
        <f t="shared" ref="AI169:AI189" si="194">(VLOOKUP($AE169,func,AI$378))*$AG169</f>
        <v>40806.424393759735</v>
      </c>
      <c r="AJ169" s="94"/>
      <c r="AK169" s="130">
        <f t="shared" ref="AK169:AK189" si="195">(VLOOKUP($AE169,func,AK$378))*$AG169</f>
        <v>23479.450368265287</v>
      </c>
      <c r="AL169" s="94"/>
      <c r="AM169" s="130">
        <f t="shared" ref="AM169:AM189" si="196">(VLOOKUP($AE169,func,AM$378))*$AG169</f>
        <v>14375.786186279172</v>
      </c>
      <c r="AN169" s="94"/>
      <c r="AO169" s="130">
        <f t="shared" ref="AO169:AO189" si="197">(VLOOKUP($AE169,func,AO$378))*$AG169</f>
        <v>7903.1809931527805</v>
      </c>
      <c r="AP169" s="94"/>
      <c r="AQ169" s="130">
        <f t="shared" ref="AQ169:AQ189" si="198">(VLOOKUP($AE169,func,AQ$378))*$AG169</f>
        <v>1860.7489426916673</v>
      </c>
      <c r="AR169" s="94"/>
      <c r="AS169" s="130">
        <f t="shared" ref="AS169:AS189" si="199">(VLOOKUP($AE169,func,AS$378))*$AG169</f>
        <v>1470.5919063208339</v>
      </c>
      <c r="AT169" s="94"/>
      <c r="AU169" s="130">
        <f t="shared" ref="AU169:AU189" si="200">(VLOOKUP($AE169,func,AU$378))*$AG169</f>
        <v>520.20938182777797</v>
      </c>
      <c r="AV169" s="94"/>
      <c r="AW169" s="130">
        <f t="shared" ref="AW169:AW189" si="201">(VLOOKUP($AE169,func,AW$378))*$AG169</f>
        <v>3221.2965567027791</v>
      </c>
      <c r="AX169" s="94"/>
      <c r="AY169" s="130">
        <f t="shared" ref="AY169:AY189" si="202">(VLOOKUP($AE169,func,AY$378))*$AG169</f>
        <v>6402.5770071111137</v>
      </c>
      <c r="BA169" s="82">
        <f t="shared" si="130"/>
        <v>0</v>
      </c>
      <c r="BB169" s="67"/>
      <c r="BC169" s="67"/>
      <c r="BD169" s="67"/>
    </row>
    <row r="170" spans="1:56" s="340" customFormat="1" x14ac:dyDescent="0.2">
      <c r="A170" s="513"/>
      <c r="B170" s="513"/>
      <c r="C170" s="516"/>
      <c r="D170" s="273"/>
      <c r="E170" s="94"/>
      <c r="F170" s="97" t="s">
        <v>432</v>
      </c>
      <c r="G170" s="55"/>
      <c r="H170" s="131">
        <v>2</v>
      </c>
      <c r="I170" s="97"/>
      <c r="J170" s="515">
        <v>0</v>
      </c>
      <c r="K170" s="267"/>
      <c r="L170" s="130">
        <f t="shared" si="185"/>
        <v>0</v>
      </c>
      <c r="M170" s="94"/>
      <c r="N170" s="130">
        <f t="shared" si="186"/>
        <v>0</v>
      </c>
      <c r="O170" s="94"/>
      <c r="P170" s="130">
        <f t="shared" si="187"/>
        <v>0</v>
      </c>
      <c r="Q170" s="94"/>
      <c r="R170" s="130">
        <f t="shared" si="188"/>
        <v>0</v>
      </c>
      <c r="S170" s="94"/>
      <c r="T170" s="130">
        <f t="shared" si="189"/>
        <v>0</v>
      </c>
      <c r="U170" s="94"/>
      <c r="V170" s="130">
        <f t="shared" si="190"/>
        <v>0</v>
      </c>
      <c r="W170" s="94"/>
      <c r="X170" s="130">
        <f t="shared" si="191"/>
        <v>0</v>
      </c>
      <c r="Y170" s="94"/>
      <c r="Z170" s="94">
        <f t="shared" si="147"/>
        <v>0</v>
      </c>
      <c r="AC170" s="97" t="s">
        <v>432</v>
      </c>
      <c r="AE170" s="112">
        <f t="shared" si="192"/>
        <v>2</v>
      </c>
      <c r="AG170" s="550">
        <f t="shared" si="193"/>
        <v>0</v>
      </c>
      <c r="AH170" s="267"/>
      <c r="AI170" s="130">
        <f t="shared" si="194"/>
        <v>0</v>
      </c>
      <c r="AJ170" s="94"/>
      <c r="AK170" s="130">
        <f t="shared" si="195"/>
        <v>0</v>
      </c>
      <c r="AL170" s="94"/>
      <c r="AM170" s="130">
        <f t="shared" si="196"/>
        <v>0</v>
      </c>
      <c r="AN170" s="94"/>
      <c r="AO170" s="130">
        <f t="shared" si="197"/>
        <v>0</v>
      </c>
      <c r="AP170" s="94"/>
      <c r="AQ170" s="130">
        <f t="shared" si="198"/>
        <v>0</v>
      </c>
      <c r="AR170" s="94"/>
      <c r="AS170" s="130">
        <f t="shared" si="199"/>
        <v>0</v>
      </c>
      <c r="AT170" s="94"/>
      <c r="AU170" s="130">
        <f t="shared" si="200"/>
        <v>0</v>
      </c>
      <c r="AV170" s="94"/>
      <c r="AW170" s="130">
        <f t="shared" si="201"/>
        <v>0</v>
      </c>
      <c r="AX170" s="94"/>
      <c r="AY170" s="130">
        <f t="shared" si="202"/>
        <v>0</v>
      </c>
      <c r="BA170" s="82">
        <f t="shared" ref="BA170:BA199" si="203">SUM(AI170:AY170)-AG170</f>
        <v>0</v>
      </c>
      <c r="BB170" s="67"/>
      <c r="BC170" s="67"/>
      <c r="BD170" s="67"/>
    </row>
    <row r="171" spans="1:56" s="340" customFormat="1" x14ac:dyDescent="0.2">
      <c r="A171" s="513"/>
      <c r="B171" s="513"/>
      <c r="C171" s="516"/>
      <c r="D171" s="273"/>
      <c r="E171" s="94"/>
      <c r="F171" s="97" t="s">
        <v>433</v>
      </c>
      <c r="G171" s="55"/>
      <c r="H171" s="131">
        <v>2</v>
      </c>
      <c r="I171" s="97"/>
      <c r="J171" s="515">
        <v>455773.79150947259</v>
      </c>
      <c r="K171" s="267"/>
      <c r="L171" s="130">
        <f t="shared" si="185"/>
        <v>228433.82430454766</v>
      </c>
      <c r="M171" s="94"/>
      <c r="N171" s="130">
        <f t="shared" si="186"/>
        <v>147123.77989925773</v>
      </c>
      <c r="O171" s="94"/>
      <c r="P171" s="130">
        <f t="shared" si="187"/>
        <v>21649.255096699948</v>
      </c>
      <c r="Q171" s="94"/>
      <c r="R171" s="130">
        <f t="shared" si="188"/>
        <v>41976.766198022429</v>
      </c>
      <c r="S171" s="94"/>
      <c r="T171" s="130">
        <f t="shared" si="189"/>
        <v>14949.380361510699</v>
      </c>
      <c r="U171" s="94"/>
      <c r="V171" s="130">
        <f t="shared" si="190"/>
        <v>820.39282471705064</v>
      </c>
      <c r="W171" s="94"/>
      <c r="X171" s="130">
        <f t="shared" si="191"/>
        <v>820.39282471705064</v>
      </c>
      <c r="Y171" s="94"/>
      <c r="Z171" s="94">
        <f t="shared" si="147"/>
        <v>0</v>
      </c>
      <c r="AC171" s="97" t="s">
        <v>433</v>
      </c>
      <c r="AE171" s="112">
        <f t="shared" si="192"/>
        <v>2</v>
      </c>
      <c r="AG171" s="550">
        <f t="shared" si="193"/>
        <v>455773.79150947259</v>
      </c>
      <c r="AH171" s="267"/>
      <c r="AI171" s="130">
        <f t="shared" si="194"/>
        <v>258788.35881907854</v>
      </c>
      <c r="AJ171" s="94"/>
      <c r="AK171" s="130">
        <f t="shared" si="195"/>
        <v>195344.64704095994</v>
      </c>
      <c r="AL171" s="94"/>
      <c r="AM171" s="130">
        <f t="shared" si="196"/>
        <v>0</v>
      </c>
      <c r="AN171" s="94"/>
      <c r="AO171" s="130">
        <f t="shared" si="197"/>
        <v>0</v>
      </c>
      <c r="AP171" s="94"/>
      <c r="AQ171" s="130">
        <f t="shared" si="198"/>
        <v>0</v>
      </c>
      <c r="AR171" s="94"/>
      <c r="AS171" s="130">
        <f t="shared" si="199"/>
        <v>0</v>
      </c>
      <c r="AT171" s="94"/>
      <c r="AU171" s="130">
        <f t="shared" si="200"/>
        <v>0</v>
      </c>
      <c r="AV171" s="94"/>
      <c r="AW171" s="130">
        <f t="shared" si="201"/>
        <v>820.39282471705064</v>
      </c>
      <c r="AX171" s="94"/>
      <c r="AY171" s="130">
        <f t="shared" si="202"/>
        <v>820.39282471705064</v>
      </c>
      <c r="BA171" s="82">
        <f t="shared" si="203"/>
        <v>0</v>
      </c>
      <c r="BB171" s="67"/>
      <c r="BC171" s="67"/>
      <c r="BD171" s="67"/>
    </row>
    <row r="172" spans="1:56" s="340" customFormat="1" x14ac:dyDescent="0.2">
      <c r="A172" s="513"/>
      <c r="B172" s="513"/>
      <c r="C172" s="516"/>
      <c r="D172" s="273"/>
      <c r="E172" s="94"/>
      <c r="F172" s="97" t="s">
        <v>434</v>
      </c>
      <c r="G172" s="55"/>
      <c r="H172" s="131">
        <v>1</v>
      </c>
      <c r="I172" s="97"/>
      <c r="J172" s="515">
        <v>13413.296362888887</v>
      </c>
      <c r="K172" s="267"/>
      <c r="L172" s="130">
        <f t="shared" si="185"/>
        <v>6449.1128912769764</v>
      </c>
      <c r="M172" s="94"/>
      <c r="N172" s="130">
        <f t="shared" si="186"/>
        <v>4349.9320104848657</v>
      </c>
      <c r="O172" s="94"/>
      <c r="P172" s="130">
        <f t="shared" si="187"/>
        <v>706.8807183242443</v>
      </c>
      <c r="Q172" s="94"/>
      <c r="R172" s="130">
        <f t="shared" si="188"/>
        <v>1334.6229881074444</v>
      </c>
      <c r="S172" s="94"/>
      <c r="T172" s="130">
        <f t="shared" si="189"/>
        <v>488.24398760915551</v>
      </c>
      <c r="U172" s="94"/>
      <c r="V172" s="130">
        <f t="shared" si="190"/>
        <v>41.581218724955548</v>
      </c>
      <c r="W172" s="94"/>
      <c r="X172" s="130">
        <f t="shared" si="191"/>
        <v>42.922548361244438</v>
      </c>
      <c r="Y172" s="94"/>
      <c r="Z172" s="94">
        <f t="shared" si="147"/>
        <v>0</v>
      </c>
      <c r="AC172" s="97" t="s">
        <v>434</v>
      </c>
      <c r="AE172" s="112">
        <f t="shared" si="192"/>
        <v>1</v>
      </c>
      <c r="AG172" s="550">
        <f t="shared" si="193"/>
        <v>13413.296362888887</v>
      </c>
      <c r="AH172" s="267"/>
      <c r="AI172" s="130">
        <f t="shared" si="194"/>
        <v>13328.792595802686</v>
      </c>
      <c r="AJ172" s="94"/>
      <c r="AK172" s="130">
        <f t="shared" si="195"/>
        <v>0</v>
      </c>
      <c r="AL172" s="94"/>
      <c r="AM172" s="130">
        <f t="shared" si="196"/>
        <v>0</v>
      </c>
      <c r="AN172" s="94"/>
      <c r="AO172" s="130">
        <f t="shared" si="197"/>
        <v>0</v>
      </c>
      <c r="AP172" s="94"/>
      <c r="AQ172" s="130">
        <f t="shared" si="198"/>
        <v>0</v>
      </c>
      <c r="AR172" s="94"/>
      <c r="AS172" s="130">
        <f t="shared" si="199"/>
        <v>0</v>
      </c>
      <c r="AT172" s="94"/>
      <c r="AU172" s="130">
        <f t="shared" si="200"/>
        <v>0</v>
      </c>
      <c r="AV172" s="94"/>
      <c r="AW172" s="130">
        <f t="shared" si="201"/>
        <v>41.581218724955548</v>
      </c>
      <c r="AX172" s="94"/>
      <c r="AY172" s="130">
        <f t="shared" si="202"/>
        <v>42.922548361244438</v>
      </c>
      <c r="BA172" s="82">
        <f t="shared" si="203"/>
        <v>0</v>
      </c>
      <c r="BB172" s="67"/>
      <c r="BC172" s="67"/>
      <c r="BD172" s="67"/>
    </row>
    <row r="173" spans="1:56" s="340" customFormat="1" x14ac:dyDescent="0.2">
      <c r="A173" s="513"/>
      <c r="B173" s="513"/>
      <c r="C173" s="516"/>
      <c r="D173" s="273"/>
      <c r="E173" s="94"/>
      <c r="F173" s="97" t="s">
        <v>435</v>
      </c>
      <c r="G173" s="55"/>
      <c r="H173" s="131">
        <v>2</v>
      </c>
      <c r="I173" s="97"/>
      <c r="J173" s="515">
        <v>41711.809009705779</v>
      </c>
      <c r="K173" s="267"/>
      <c r="L173" s="130">
        <f t="shared" si="185"/>
        <v>20905.958675664537</v>
      </c>
      <c r="M173" s="94"/>
      <c r="N173" s="130">
        <f t="shared" si="186"/>
        <v>13464.571948333025</v>
      </c>
      <c r="O173" s="94"/>
      <c r="P173" s="130">
        <f t="shared" si="187"/>
        <v>1981.3109279610246</v>
      </c>
      <c r="Q173" s="94"/>
      <c r="R173" s="130">
        <f t="shared" si="188"/>
        <v>3841.6576097939023</v>
      </c>
      <c r="S173" s="94"/>
      <c r="T173" s="130">
        <f t="shared" si="189"/>
        <v>1368.1473355183493</v>
      </c>
      <c r="U173" s="94"/>
      <c r="V173" s="130">
        <f t="shared" si="190"/>
        <v>75.081256217470397</v>
      </c>
      <c r="W173" s="94"/>
      <c r="X173" s="130">
        <f t="shared" si="191"/>
        <v>75.081256217470397</v>
      </c>
      <c r="Y173" s="94"/>
      <c r="Z173" s="94">
        <f t="shared" si="147"/>
        <v>0</v>
      </c>
      <c r="AC173" s="97" t="s">
        <v>435</v>
      </c>
      <c r="AE173" s="112">
        <f t="shared" si="192"/>
        <v>2</v>
      </c>
      <c r="AG173" s="550">
        <f t="shared" si="193"/>
        <v>41711.809009705779</v>
      </c>
      <c r="AH173" s="267"/>
      <c r="AI173" s="130">
        <f t="shared" si="194"/>
        <v>23683.965155710939</v>
      </c>
      <c r="AJ173" s="94"/>
      <c r="AK173" s="130">
        <f t="shared" si="195"/>
        <v>17877.681341559895</v>
      </c>
      <c r="AL173" s="94"/>
      <c r="AM173" s="130">
        <f t="shared" si="196"/>
        <v>0</v>
      </c>
      <c r="AN173" s="94"/>
      <c r="AO173" s="130">
        <f t="shared" si="197"/>
        <v>0</v>
      </c>
      <c r="AP173" s="94"/>
      <c r="AQ173" s="130">
        <f t="shared" si="198"/>
        <v>0</v>
      </c>
      <c r="AR173" s="94"/>
      <c r="AS173" s="130">
        <f t="shared" si="199"/>
        <v>0</v>
      </c>
      <c r="AT173" s="94"/>
      <c r="AU173" s="130">
        <f t="shared" si="200"/>
        <v>0</v>
      </c>
      <c r="AV173" s="94"/>
      <c r="AW173" s="130">
        <f t="shared" si="201"/>
        <v>75.081256217470397</v>
      </c>
      <c r="AX173" s="94"/>
      <c r="AY173" s="130">
        <f t="shared" si="202"/>
        <v>75.081256217470397</v>
      </c>
      <c r="BA173" s="82">
        <f t="shared" si="203"/>
        <v>0</v>
      </c>
      <c r="BB173" s="67"/>
      <c r="BC173" s="67"/>
      <c r="BD173" s="67"/>
    </row>
    <row r="174" spans="1:56" s="340" customFormat="1" x14ac:dyDescent="0.2">
      <c r="A174" s="513"/>
      <c r="B174" s="513"/>
      <c r="C174" s="516"/>
      <c r="D174" s="273"/>
      <c r="E174" s="94"/>
      <c r="F174" s="97" t="s">
        <v>547</v>
      </c>
      <c r="G174" s="55"/>
      <c r="H174" s="131">
        <v>2</v>
      </c>
      <c r="I174" s="97"/>
      <c r="J174" s="515">
        <v>474058.5484521247</v>
      </c>
      <c r="K174" s="267"/>
      <c r="L174" s="130">
        <f t="shared" si="185"/>
        <v>237598.14448420488</v>
      </c>
      <c r="M174" s="94"/>
      <c r="N174" s="130">
        <f t="shared" si="186"/>
        <v>153026.09944034583</v>
      </c>
      <c r="O174" s="94"/>
      <c r="P174" s="130">
        <f t="shared" si="187"/>
        <v>22517.781051475922</v>
      </c>
      <c r="Q174" s="94"/>
      <c r="R174" s="130">
        <f t="shared" si="188"/>
        <v>43660.792312440688</v>
      </c>
      <c r="S174" s="94"/>
      <c r="T174" s="130">
        <f t="shared" si="189"/>
        <v>15549.120389229689</v>
      </c>
      <c r="U174" s="94"/>
      <c r="V174" s="130">
        <f t="shared" si="190"/>
        <v>853.30538721382447</v>
      </c>
      <c r="W174" s="94"/>
      <c r="X174" s="130">
        <f t="shared" si="191"/>
        <v>853.30538721382447</v>
      </c>
      <c r="Y174" s="94"/>
      <c r="Z174" s="94">
        <f t="shared" si="147"/>
        <v>0</v>
      </c>
      <c r="AC174" s="97" t="s">
        <v>547</v>
      </c>
      <c r="AE174" s="112">
        <f t="shared" si="192"/>
        <v>2</v>
      </c>
      <c r="AG174" s="550">
        <f t="shared" si="193"/>
        <v>474058.5484521247</v>
      </c>
      <c r="AH174" s="267"/>
      <c r="AI174" s="130">
        <f t="shared" si="194"/>
        <v>269170.44381111639</v>
      </c>
      <c r="AJ174" s="94"/>
      <c r="AK174" s="130">
        <f t="shared" si="195"/>
        <v>203181.49386658063</v>
      </c>
      <c r="AL174" s="94"/>
      <c r="AM174" s="130">
        <f t="shared" si="196"/>
        <v>0</v>
      </c>
      <c r="AN174" s="94"/>
      <c r="AO174" s="130">
        <f t="shared" si="197"/>
        <v>0</v>
      </c>
      <c r="AP174" s="94"/>
      <c r="AQ174" s="130">
        <f t="shared" si="198"/>
        <v>0</v>
      </c>
      <c r="AR174" s="94"/>
      <c r="AS174" s="130">
        <f t="shared" si="199"/>
        <v>0</v>
      </c>
      <c r="AT174" s="94"/>
      <c r="AU174" s="130">
        <f t="shared" si="200"/>
        <v>0</v>
      </c>
      <c r="AV174" s="94"/>
      <c r="AW174" s="130">
        <f t="shared" si="201"/>
        <v>853.30538721382447</v>
      </c>
      <c r="AX174" s="94"/>
      <c r="AY174" s="130">
        <f t="shared" si="202"/>
        <v>853.30538721382447</v>
      </c>
      <c r="BA174" s="82">
        <f t="shared" si="203"/>
        <v>0</v>
      </c>
      <c r="BB174" s="67"/>
      <c r="BC174" s="67"/>
      <c r="BD174" s="67"/>
    </row>
    <row r="175" spans="1:56" s="340" customFormat="1" x14ac:dyDescent="0.2">
      <c r="A175" s="513"/>
      <c r="B175" s="513"/>
      <c r="C175" s="516"/>
      <c r="D175" s="273"/>
      <c r="E175" s="94"/>
      <c r="F175" s="97" t="s">
        <v>649</v>
      </c>
      <c r="G175" s="55"/>
      <c r="H175" s="131">
        <v>2</v>
      </c>
      <c r="I175" s="97"/>
      <c r="J175" s="515">
        <v>18288.283923000006</v>
      </c>
      <c r="K175" s="267"/>
      <c r="L175" s="130">
        <f t="shared" si="185"/>
        <v>9166.0879022076024</v>
      </c>
      <c r="M175" s="94"/>
      <c r="N175" s="130">
        <f t="shared" si="186"/>
        <v>5903.4580503444013</v>
      </c>
      <c r="O175" s="94"/>
      <c r="P175" s="130">
        <f t="shared" si="187"/>
        <v>868.69348634250036</v>
      </c>
      <c r="Q175" s="94"/>
      <c r="R175" s="130">
        <f t="shared" si="188"/>
        <v>1684.3509493083006</v>
      </c>
      <c r="S175" s="94"/>
      <c r="T175" s="130">
        <f t="shared" si="189"/>
        <v>599.85571267440014</v>
      </c>
      <c r="U175" s="94"/>
      <c r="V175" s="130">
        <f t="shared" si="190"/>
        <v>32.91891106140001</v>
      </c>
      <c r="W175" s="94"/>
      <c r="X175" s="130">
        <f t="shared" si="191"/>
        <v>32.91891106140001</v>
      </c>
      <c r="Y175" s="94"/>
      <c r="Z175" s="94">
        <f t="shared" si="147"/>
        <v>0</v>
      </c>
      <c r="AC175" s="97" t="s">
        <v>436</v>
      </c>
      <c r="AE175" s="112">
        <f t="shared" si="192"/>
        <v>2</v>
      </c>
      <c r="AG175" s="550">
        <f t="shared" si="193"/>
        <v>18288.283923000006</v>
      </c>
      <c r="AH175" s="267"/>
      <c r="AI175" s="130">
        <f t="shared" si="194"/>
        <v>10384.087611479403</v>
      </c>
      <c r="AJ175" s="94"/>
      <c r="AK175" s="130">
        <f t="shared" si="195"/>
        <v>7838.3584893978023</v>
      </c>
      <c r="AL175" s="94"/>
      <c r="AM175" s="130">
        <f t="shared" si="196"/>
        <v>0</v>
      </c>
      <c r="AN175" s="94"/>
      <c r="AO175" s="130">
        <f t="shared" si="197"/>
        <v>0</v>
      </c>
      <c r="AP175" s="94"/>
      <c r="AQ175" s="130">
        <f t="shared" si="198"/>
        <v>0</v>
      </c>
      <c r="AR175" s="94"/>
      <c r="AS175" s="130">
        <f t="shared" si="199"/>
        <v>0</v>
      </c>
      <c r="AT175" s="94"/>
      <c r="AU175" s="130">
        <f t="shared" si="200"/>
        <v>0</v>
      </c>
      <c r="AV175" s="94"/>
      <c r="AW175" s="130">
        <f t="shared" si="201"/>
        <v>32.91891106140001</v>
      </c>
      <c r="AX175" s="94"/>
      <c r="AY175" s="130">
        <f t="shared" si="202"/>
        <v>32.91891106140001</v>
      </c>
      <c r="BA175" s="82">
        <f t="shared" si="203"/>
        <v>0</v>
      </c>
      <c r="BB175" s="67"/>
      <c r="BC175" s="67"/>
      <c r="BD175" s="67"/>
    </row>
    <row r="176" spans="1:56" s="340" customFormat="1" x14ac:dyDescent="0.2">
      <c r="A176" s="513"/>
      <c r="B176" s="513"/>
      <c r="C176" s="516"/>
      <c r="D176" s="273"/>
      <c r="E176" s="94"/>
      <c r="F176" s="97" t="s">
        <v>437</v>
      </c>
      <c r="G176" s="55"/>
      <c r="H176" s="131">
        <v>2</v>
      </c>
      <c r="I176" s="97"/>
      <c r="J176" s="515">
        <v>283972.36400412535</v>
      </c>
      <c r="K176" s="267"/>
      <c r="L176" s="130">
        <f t="shared" si="185"/>
        <v>142326.94883886763</v>
      </c>
      <c r="M176" s="94"/>
      <c r="N176" s="130">
        <f t="shared" si="186"/>
        <v>91666.279100531654</v>
      </c>
      <c r="O176" s="94"/>
      <c r="P176" s="130">
        <f t="shared" si="187"/>
        <v>13488.687290195954</v>
      </c>
      <c r="Q176" s="94"/>
      <c r="R176" s="130">
        <f t="shared" si="188"/>
        <v>26153.854724779947</v>
      </c>
      <c r="S176" s="94"/>
      <c r="T176" s="130">
        <f t="shared" si="189"/>
        <v>9314.2935393353109</v>
      </c>
      <c r="U176" s="94"/>
      <c r="V176" s="130">
        <f t="shared" si="190"/>
        <v>511.15025520742563</v>
      </c>
      <c r="W176" s="94"/>
      <c r="X176" s="130">
        <f t="shared" si="191"/>
        <v>511.15025520742563</v>
      </c>
      <c r="Y176" s="94"/>
      <c r="Z176" s="94">
        <f t="shared" si="147"/>
        <v>0</v>
      </c>
      <c r="AC176" s="97" t="s">
        <v>437</v>
      </c>
      <c r="AE176" s="112">
        <f t="shared" si="192"/>
        <v>2</v>
      </c>
      <c r="AG176" s="550">
        <f t="shared" si="193"/>
        <v>283972.36400412535</v>
      </c>
      <c r="AH176" s="267"/>
      <c r="AI176" s="130">
        <f t="shared" si="194"/>
        <v>161239.50828154237</v>
      </c>
      <c r="AJ176" s="94"/>
      <c r="AK176" s="130">
        <f t="shared" si="195"/>
        <v>121710.55521216812</v>
      </c>
      <c r="AL176" s="94"/>
      <c r="AM176" s="130">
        <f t="shared" si="196"/>
        <v>0</v>
      </c>
      <c r="AN176" s="94"/>
      <c r="AO176" s="130">
        <f t="shared" si="197"/>
        <v>0</v>
      </c>
      <c r="AP176" s="94"/>
      <c r="AQ176" s="130">
        <f t="shared" si="198"/>
        <v>0</v>
      </c>
      <c r="AR176" s="94"/>
      <c r="AS176" s="130">
        <f t="shared" si="199"/>
        <v>0</v>
      </c>
      <c r="AT176" s="94"/>
      <c r="AU176" s="130">
        <f t="shared" si="200"/>
        <v>0</v>
      </c>
      <c r="AV176" s="94"/>
      <c r="AW176" s="130">
        <f t="shared" si="201"/>
        <v>511.15025520742563</v>
      </c>
      <c r="AX176" s="94"/>
      <c r="AY176" s="130">
        <f t="shared" si="202"/>
        <v>511.15025520742563</v>
      </c>
      <c r="BA176" s="82">
        <f t="shared" si="203"/>
        <v>0</v>
      </c>
      <c r="BB176" s="67"/>
      <c r="BC176" s="67"/>
      <c r="BD176" s="67"/>
    </row>
    <row r="177" spans="1:56" s="340" customFormat="1" x14ac:dyDescent="0.2">
      <c r="A177" s="513"/>
      <c r="B177" s="513"/>
      <c r="C177" s="516"/>
      <c r="D177" s="273"/>
      <c r="E177" s="94"/>
      <c r="F177" s="97" t="s">
        <v>438</v>
      </c>
      <c r="G177" s="55"/>
      <c r="H177" s="131">
        <v>6</v>
      </c>
      <c r="I177" s="97"/>
      <c r="J177" s="515">
        <v>250275.67279311133</v>
      </c>
      <c r="K177" s="267"/>
      <c r="L177" s="130">
        <f t="shared" si="185"/>
        <v>121108.39806458657</v>
      </c>
      <c r="M177" s="94"/>
      <c r="N177" s="130">
        <f t="shared" si="186"/>
        <v>78261.202882405909</v>
      </c>
      <c r="O177" s="94"/>
      <c r="P177" s="130">
        <f t="shared" si="187"/>
        <v>8659.5382786416521</v>
      </c>
      <c r="Q177" s="94"/>
      <c r="R177" s="130">
        <f t="shared" si="188"/>
        <v>21273.432187414463</v>
      </c>
      <c r="S177" s="94"/>
      <c r="T177" s="130">
        <f t="shared" si="189"/>
        <v>5856.4507433588051</v>
      </c>
      <c r="U177" s="94"/>
      <c r="V177" s="130">
        <f t="shared" si="190"/>
        <v>7308.04964555885</v>
      </c>
      <c r="W177" s="94"/>
      <c r="X177" s="130">
        <f t="shared" si="191"/>
        <v>7808.6009911450728</v>
      </c>
      <c r="Y177" s="94"/>
      <c r="Z177" s="94">
        <f t="shared" si="147"/>
        <v>0</v>
      </c>
      <c r="AC177" s="97" t="s">
        <v>438</v>
      </c>
      <c r="AE177" s="112">
        <f t="shared" si="192"/>
        <v>6</v>
      </c>
      <c r="AG177" s="550">
        <f t="shared" si="193"/>
        <v>250275.67279311133</v>
      </c>
      <c r="AH177" s="267"/>
      <c r="AI177" s="130">
        <f t="shared" si="194"/>
        <v>124172.01256422013</v>
      </c>
      <c r="AJ177" s="94"/>
      <c r="AK177" s="130">
        <f t="shared" si="195"/>
        <v>76409.162903736898</v>
      </c>
      <c r="AL177" s="94"/>
      <c r="AM177" s="130">
        <f t="shared" si="196"/>
        <v>34596.266977967949</v>
      </c>
      <c r="AN177" s="94"/>
      <c r="AO177" s="130">
        <f t="shared" si="197"/>
        <v>0</v>
      </c>
      <c r="AP177" s="94"/>
      <c r="AQ177" s="130">
        <f t="shared" si="198"/>
        <v>0</v>
      </c>
      <c r="AR177" s="94"/>
      <c r="AS177" s="130">
        <f t="shared" si="199"/>
        <v>0</v>
      </c>
      <c r="AT177" s="94"/>
      <c r="AU177" s="130">
        <f t="shared" si="200"/>
        <v>0</v>
      </c>
      <c r="AV177" s="94"/>
      <c r="AW177" s="130">
        <f t="shared" si="201"/>
        <v>7298.1587509700666</v>
      </c>
      <c r="AX177" s="94"/>
      <c r="AY177" s="130">
        <f t="shared" si="202"/>
        <v>7800.071596216284</v>
      </c>
      <c r="BA177" s="82">
        <f t="shared" si="203"/>
        <v>0</v>
      </c>
      <c r="BB177" s="67"/>
      <c r="BC177" s="67"/>
      <c r="BD177" s="67"/>
    </row>
    <row r="178" spans="1:56" s="340" customFormat="1" x14ac:dyDescent="0.2">
      <c r="A178" s="511"/>
      <c r="B178" s="512"/>
      <c r="C178" s="516"/>
      <c r="D178" s="273"/>
      <c r="E178" s="94"/>
      <c r="F178" s="97" t="s">
        <v>545</v>
      </c>
      <c r="G178" s="55"/>
      <c r="H178" s="131">
        <v>6</v>
      </c>
      <c r="I178" s="97"/>
      <c r="J178" s="515">
        <v>219812.21329894659</v>
      </c>
      <c r="K178" s="267"/>
      <c r="L178" s="130">
        <f t="shared" si="185"/>
        <v>106367.13001536025</v>
      </c>
      <c r="M178" s="94"/>
      <c r="N178" s="130">
        <f t="shared" si="186"/>
        <v>68735.279098580591</v>
      </c>
      <c r="O178" s="94"/>
      <c r="P178" s="130">
        <f t="shared" si="187"/>
        <v>7605.5025801435513</v>
      </c>
      <c r="Q178" s="94"/>
      <c r="R178" s="130">
        <f t="shared" si="188"/>
        <v>18684.038130410459</v>
      </c>
      <c r="S178" s="94"/>
      <c r="T178" s="130">
        <f t="shared" si="189"/>
        <v>5143.6057911953503</v>
      </c>
      <c r="U178" s="94"/>
      <c r="V178" s="130">
        <f t="shared" si="190"/>
        <v>6418.5166283292401</v>
      </c>
      <c r="W178" s="94"/>
      <c r="X178" s="130">
        <f t="shared" si="191"/>
        <v>6858.1410549271332</v>
      </c>
      <c r="Y178" s="94"/>
      <c r="Z178" s="94">
        <f t="shared" si="147"/>
        <v>0</v>
      </c>
      <c r="AC178" s="97" t="s">
        <v>545</v>
      </c>
      <c r="AE178" s="112">
        <f t="shared" si="192"/>
        <v>6</v>
      </c>
      <c r="AG178" s="550">
        <f t="shared" si="193"/>
        <v>219812.21329894659</v>
      </c>
      <c r="AH178" s="267"/>
      <c r="AI178" s="130">
        <f t="shared" si="194"/>
        <v>109057.84252586412</v>
      </c>
      <c r="AJ178" s="94"/>
      <c r="AK178" s="130">
        <f t="shared" si="195"/>
        <v>67108.668720168396</v>
      </c>
      <c r="AL178" s="94"/>
      <c r="AM178" s="130">
        <f t="shared" si="196"/>
        <v>30385.222548556496</v>
      </c>
      <c r="AN178" s="94"/>
      <c r="AO178" s="130">
        <f t="shared" si="197"/>
        <v>0</v>
      </c>
      <c r="AP178" s="94"/>
      <c r="AQ178" s="130">
        <f t="shared" si="198"/>
        <v>0</v>
      </c>
      <c r="AR178" s="94"/>
      <c r="AS178" s="130">
        <f t="shared" si="199"/>
        <v>0</v>
      </c>
      <c r="AT178" s="94"/>
      <c r="AU178" s="130">
        <f t="shared" si="200"/>
        <v>0</v>
      </c>
      <c r="AV178" s="94"/>
      <c r="AW178" s="130">
        <f t="shared" si="201"/>
        <v>6409.8296496596658</v>
      </c>
      <c r="AX178" s="94"/>
      <c r="AY178" s="130">
        <f t="shared" si="202"/>
        <v>6850.6498546979055</v>
      </c>
      <c r="BA178" s="82">
        <f t="shared" si="203"/>
        <v>0</v>
      </c>
      <c r="BB178" s="67"/>
      <c r="BC178" s="67"/>
      <c r="BD178" s="67"/>
    </row>
    <row r="179" spans="1:56" s="340" customFormat="1" x14ac:dyDescent="0.2">
      <c r="A179" s="513"/>
      <c r="B179" s="513"/>
      <c r="C179" s="516"/>
      <c r="D179" s="273"/>
      <c r="E179" s="94"/>
      <c r="F179" s="97" t="s">
        <v>439</v>
      </c>
      <c r="G179" s="55"/>
      <c r="H179" s="131">
        <v>6</v>
      </c>
      <c r="I179" s="97"/>
      <c r="J179" s="515">
        <v>0</v>
      </c>
      <c r="K179" s="267"/>
      <c r="L179" s="130">
        <f t="shared" si="185"/>
        <v>0</v>
      </c>
      <c r="M179" s="94"/>
      <c r="N179" s="130">
        <f t="shared" si="186"/>
        <v>0</v>
      </c>
      <c r="O179" s="94"/>
      <c r="P179" s="130">
        <f t="shared" si="187"/>
        <v>0</v>
      </c>
      <c r="Q179" s="94"/>
      <c r="R179" s="130">
        <f t="shared" si="188"/>
        <v>0</v>
      </c>
      <c r="S179" s="94"/>
      <c r="T179" s="130">
        <f t="shared" si="189"/>
        <v>0</v>
      </c>
      <c r="U179" s="94"/>
      <c r="V179" s="130">
        <f t="shared" si="190"/>
        <v>0</v>
      </c>
      <c r="W179" s="94"/>
      <c r="X179" s="130">
        <f t="shared" si="191"/>
        <v>0</v>
      </c>
      <c r="Y179" s="94"/>
      <c r="Z179" s="94">
        <f t="shared" si="147"/>
        <v>0</v>
      </c>
      <c r="AC179" s="97" t="s">
        <v>439</v>
      </c>
      <c r="AE179" s="112">
        <f t="shared" si="192"/>
        <v>6</v>
      </c>
      <c r="AG179" s="550">
        <f t="shared" si="193"/>
        <v>0</v>
      </c>
      <c r="AH179" s="267"/>
      <c r="AI179" s="130">
        <f t="shared" si="194"/>
        <v>0</v>
      </c>
      <c r="AJ179" s="94"/>
      <c r="AK179" s="130">
        <f t="shared" si="195"/>
        <v>0</v>
      </c>
      <c r="AL179" s="94"/>
      <c r="AM179" s="130">
        <f t="shared" si="196"/>
        <v>0</v>
      </c>
      <c r="AN179" s="94"/>
      <c r="AO179" s="130">
        <f t="shared" si="197"/>
        <v>0</v>
      </c>
      <c r="AP179" s="94"/>
      <c r="AQ179" s="130">
        <f t="shared" si="198"/>
        <v>0</v>
      </c>
      <c r="AR179" s="94"/>
      <c r="AS179" s="130">
        <f t="shared" si="199"/>
        <v>0</v>
      </c>
      <c r="AT179" s="94"/>
      <c r="AU179" s="130">
        <f t="shared" si="200"/>
        <v>0</v>
      </c>
      <c r="AV179" s="94"/>
      <c r="AW179" s="130">
        <f t="shared" si="201"/>
        <v>0</v>
      </c>
      <c r="AX179" s="94"/>
      <c r="AY179" s="130">
        <f t="shared" si="202"/>
        <v>0</v>
      </c>
      <c r="BA179" s="82">
        <f t="shared" si="203"/>
        <v>0</v>
      </c>
      <c r="BB179" s="67"/>
      <c r="BC179" s="67"/>
      <c r="BD179" s="67"/>
    </row>
    <row r="180" spans="1:56" s="340" customFormat="1" x14ac:dyDescent="0.2">
      <c r="A180" s="513"/>
      <c r="B180" s="513"/>
      <c r="C180" s="516"/>
      <c r="D180" s="273"/>
      <c r="E180" s="94"/>
      <c r="F180" s="97" t="s">
        <v>440</v>
      </c>
      <c r="G180" s="55"/>
      <c r="H180" s="131">
        <v>6</v>
      </c>
      <c r="I180" s="97"/>
      <c r="J180" s="515">
        <v>664199.82875137322</v>
      </c>
      <c r="K180" s="267"/>
      <c r="L180" s="130">
        <f t="shared" si="185"/>
        <v>321406.29713278951</v>
      </c>
      <c r="M180" s="94"/>
      <c r="N180" s="130">
        <f t="shared" si="186"/>
        <v>207695.28645055438</v>
      </c>
      <c r="O180" s="94"/>
      <c r="P180" s="130">
        <f t="shared" si="187"/>
        <v>22981.314074797512</v>
      </c>
      <c r="Q180" s="94"/>
      <c r="R180" s="130">
        <f t="shared" si="188"/>
        <v>56456.985443866717</v>
      </c>
      <c r="S180" s="94"/>
      <c r="T180" s="130">
        <f t="shared" si="189"/>
        <v>15542.275992782133</v>
      </c>
      <c r="U180" s="94"/>
      <c r="V180" s="130">
        <f t="shared" si="190"/>
        <v>19394.634999540096</v>
      </c>
      <c r="W180" s="94"/>
      <c r="X180" s="130">
        <f t="shared" si="191"/>
        <v>20723.034657042845</v>
      </c>
      <c r="Y180" s="94"/>
      <c r="Z180" s="94">
        <f t="shared" si="147"/>
        <v>0</v>
      </c>
      <c r="AC180" s="97" t="s">
        <v>440</v>
      </c>
      <c r="AE180" s="112">
        <f t="shared" si="192"/>
        <v>6</v>
      </c>
      <c r="AG180" s="550">
        <f t="shared" si="193"/>
        <v>664199.82875137322</v>
      </c>
      <c r="AH180" s="267"/>
      <c r="AI180" s="130">
        <f t="shared" si="194"/>
        <v>329536.74066854187</v>
      </c>
      <c r="AJ180" s="94"/>
      <c r="AK180" s="130">
        <f t="shared" si="195"/>
        <v>202780.20771779426</v>
      </c>
      <c r="AL180" s="94"/>
      <c r="AM180" s="130">
        <f t="shared" si="196"/>
        <v>91814.095815850218</v>
      </c>
      <c r="AN180" s="94"/>
      <c r="AO180" s="130">
        <f t="shared" si="197"/>
        <v>0</v>
      </c>
      <c r="AP180" s="94"/>
      <c r="AQ180" s="130">
        <f t="shared" si="198"/>
        <v>0</v>
      </c>
      <c r="AR180" s="94"/>
      <c r="AS180" s="130">
        <f t="shared" si="199"/>
        <v>0</v>
      </c>
      <c r="AT180" s="94"/>
      <c r="AU180" s="130">
        <f t="shared" si="200"/>
        <v>0</v>
      </c>
      <c r="AV180" s="94"/>
      <c r="AW180" s="130">
        <f t="shared" si="201"/>
        <v>19368.385822307842</v>
      </c>
      <c r="AX180" s="94"/>
      <c r="AY180" s="130">
        <f t="shared" si="202"/>
        <v>20700.398726878997</v>
      </c>
      <c r="BA180" s="82">
        <f t="shared" si="203"/>
        <v>0</v>
      </c>
      <c r="BB180" s="67"/>
      <c r="BC180" s="67"/>
      <c r="BD180" s="67"/>
    </row>
    <row r="181" spans="1:56" s="340" customFormat="1" x14ac:dyDescent="0.2">
      <c r="A181" s="513"/>
      <c r="B181" s="513"/>
      <c r="C181" s="516"/>
      <c r="D181" s="273"/>
      <c r="E181" s="94"/>
      <c r="F181" s="97" t="s">
        <v>441</v>
      </c>
      <c r="G181" s="55"/>
      <c r="H181" s="131">
        <v>6</v>
      </c>
      <c r="I181" s="97"/>
      <c r="J181" s="515">
        <v>13954.427346555571</v>
      </c>
      <c r="K181" s="267"/>
      <c r="L181" s="130">
        <f t="shared" si="185"/>
        <v>6752.5473929982409</v>
      </c>
      <c r="M181" s="94"/>
      <c r="N181" s="130">
        <f t="shared" si="186"/>
        <v>4363.5494312679266</v>
      </c>
      <c r="O181" s="94"/>
      <c r="P181" s="130">
        <f t="shared" si="187"/>
        <v>482.82318619082275</v>
      </c>
      <c r="Q181" s="94"/>
      <c r="R181" s="130">
        <f t="shared" si="188"/>
        <v>1186.1263244572233</v>
      </c>
      <c r="S181" s="94"/>
      <c r="T181" s="130">
        <f t="shared" si="189"/>
        <v>326.53359990940038</v>
      </c>
      <c r="U181" s="94"/>
      <c r="V181" s="130">
        <f t="shared" si="190"/>
        <v>407.46927851942263</v>
      </c>
      <c r="W181" s="94"/>
      <c r="X181" s="130">
        <f t="shared" si="191"/>
        <v>435.37813321253378</v>
      </c>
      <c r="Y181" s="94"/>
      <c r="Z181" s="94">
        <f t="shared" si="147"/>
        <v>0</v>
      </c>
      <c r="AC181" s="97" t="s">
        <v>441</v>
      </c>
      <c r="AE181" s="112">
        <f t="shared" si="192"/>
        <v>6</v>
      </c>
      <c r="AG181" s="550">
        <f t="shared" si="193"/>
        <v>13954.427346555571</v>
      </c>
      <c r="AH181" s="267"/>
      <c r="AI181" s="130">
        <f t="shared" si="194"/>
        <v>6923.3629799703331</v>
      </c>
      <c r="AJ181" s="94"/>
      <c r="AK181" s="130">
        <f t="shared" si="195"/>
        <v>4260.2866689034163</v>
      </c>
      <c r="AL181" s="94"/>
      <c r="AM181" s="130">
        <f t="shared" si="196"/>
        <v>1928.9573318025714</v>
      </c>
      <c r="AN181" s="94"/>
      <c r="AO181" s="130">
        <f t="shared" si="197"/>
        <v>0</v>
      </c>
      <c r="AP181" s="94"/>
      <c r="AQ181" s="130">
        <f t="shared" si="198"/>
        <v>0</v>
      </c>
      <c r="AR181" s="94"/>
      <c r="AS181" s="130">
        <f t="shared" si="199"/>
        <v>0</v>
      </c>
      <c r="AT181" s="94"/>
      <c r="AU181" s="130">
        <f t="shared" si="200"/>
        <v>0</v>
      </c>
      <c r="AV181" s="94"/>
      <c r="AW181" s="130">
        <f t="shared" si="201"/>
        <v>406.91779955068677</v>
      </c>
      <c r="AX181" s="94"/>
      <c r="AY181" s="130">
        <f t="shared" si="202"/>
        <v>434.90256632856318</v>
      </c>
      <c r="BA181" s="82">
        <f t="shared" si="203"/>
        <v>0</v>
      </c>
      <c r="BB181" s="67"/>
      <c r="BC181" s="67"/>
      <c r="BD181" s="67"/>
    </row>
    <row r="182" spans="1:56" s="340" customFormat="1" x14ac:dyDescent="0.2">
      <c r="A182" s="513"/>
      <c r="B182" s="513"/>
      <c r="C182" s="516"/>
      <c r="D182" s="273"/>
      <c r="E182" s="94"/>
      <c r="F182" s="97" t="s">
        <v>546</v>
      </c>
      <c r="G182" s="55"/>
      <c r="H182" s="131">
        <v>6</v>
      </c>
      <c r="I182" s="97"/>
      <c r="J182" s="515">
        <v>315.29750400000006</v>
      </c>
      <c r="K182" s="267"/>
      <c r="L182" s="130">
        <f t="shared" si="185"/>
        <v>152.57246218560002</v>
      </c>
      <c r="M182" s="94"/>
      <c r="N182" s="130">
        <f t="shared" si="186"/>
        <v>98.593529500800017</v>
      </c>
      <c r="O182" s="94"/>
      <c r="P182" s="130">
        <f t="shared" si="187"/>
        <v>10.909293638400001</v>
      </c>
      <c r="Q182" s="94"/>
      <c r="R182" s="130">
        <f t="shared" si="188"/>
        <v>26.800287840000003</v>
      </c>
      <c r="S182" s="94"/>
      <c r="T182" s="130">
        <f t="shared" si="189"/>
        <v>7.377961593600002</v>
      </c>
      <c r="U182" s="94"/>
      <c r="V182" s="130">
        <f t="shared" si="190"/>
        <v>9.2066871168000013</v>
      </c>
      <c r="W182" s="94"/>
      <c r="X182" s="130">
        <f t="shared" si="191"/>
        <v>9.8372821248000015</v>
      </c>
      <c r="Y182" s="94"/>
      <c r="Z182" s="94">
        <f t="shared" si="147"/>
        <v>0</v>
      </c>
      <c r="AC182" s="97" t="s">
        <v>546</v>
      </c>
      <c r="AE182" s="112">
        <f t="shared" si="192"/>
        <v>6</v>
      </c>
      <c r="AG182" s="550">
        <f t="shared" si="193"/>
        <v>315.29750400000006</v>
      </c>
      <c r="AH182" s="267"/>
      <c r="AI182" s="130">
        <f t="shared" si="194"/>
        <v>156.43200632016385</v>
      </c>
      <c r="AJ182" s="94"/>
      <c r="AK182" s="130">
        <f t="shared" si="195"/>
        <v>96.260327971200027</v>
      </c>
      <c r="AL182" s="94"/>
      <c r="AM182" s="130">
        <f t="shared" si="196"/>
        <v>43.584406363330565</v>
      </c>
      <c r="AN182" s="94"/>
      <c r="AO182" s="130">
        <f t="shared" si="197"/>
        <v>0</v>
      </c>
      <c r="AP182" s="94"/>
      <c r="AQ182" s="130">
        <f t="shared" si="198"/>
        <v>0</v>
      </c>
      <c r="AR182" s="94"/>
      <c r="AS182" s="130">
        <f t="shared" si="199"/>
        <v>0</v>
      </c>
      <c r="AT182" s="94"/>
      <c r="AU182" s="130">
        <f t="shared" si="200"/>
        <v>0</v>
      </c>
      <c r="AV182" s="94"/>
      <c r="AW182" s="130">
        <f t="shared" si="201"/>
        <v>9.1942265594419208</v>
      </c>
      <c r="AX182" s="94"/>
      <c r="AY182" s="130">
        <f t="shared" si="202"/>
        <v>9.8265367858636825</v>
      </c>
      <c r="BA182" s="82">
        <f t="shared" si="203"/>
        <v>0</v>
      </c>
      <c r="BB182" s="67"/>
      <c r="BC182" s="67"/>
      <c r="BD182" s="67"/>
    </row>
    <row r="183" spans="1:56" s="340" customFormat="1" x14ac:dyDescent="0.2">
      <c r="A183" s="513"/>
      <c r="B183" s="513"/>
      <c r="C183" s="516"/>
      <c r="D183" s="273"/>
      <c r="E183" s="94"/>
      <c r="F183" s="97" t="s">
        <v>442</v>
      </c>
      <c r="G183" s="55"/>
      <c r="H183" s="131">
        <v>6</v>
      </c>
      <c r="I183" s="97"/>
      <c r="J183" s="515">
        <v>0</v>
      </c>
      <c r="K183" s="267"/>
      <c r="L183" s="130">
        <f t="shared" si="185"/>
        <v>0</v>
      </c>
      <c r="M183" s="94"/>
      <c r="N183" s="130">
        <f t="shared" si="186"/>
        <v>0</v>
      </c>
      <c r="O183" s="94"/>
      <c r="P183" s="130">
        <f t="shared" si="187"/>
        <v>0</v>
      </c>
      <c r="Q183" s="94"/>
      <c r="R183" s="130">
        <f t="shared" si="188"/>
        <v>0</v>
      </c>
      <c r="S183" s="94"/>
      <c r="T183" s="130">
        <f t="shared" si="189"/>
        <v>0</v>
      </c>
      <c r="U183" s="94"/>
      <c r="V183" s="130">
        <f t="shared" si="190"/>
        <v>0</v>
      </c>
      <c r="W183" s="94"/>
      <c r="X183" s="130">
        <f t="shared" si="191"/>
        <v>0</v>
      </c>
      <c r="Y183" s="94"/>
      <c r="Z183" s="94">
        <f t="shared" si="147"/>
        <v>0</v>
      </c>
      <c r="AC183" s="97" t="s">
        <v>442</v>
      </c>
      <c r="AE183" s="112">
        <f t="shared" si="192"/>
        <v>6</v>
      </c>
      <c r="AG183" s="550">
        <f t="shared" si="193"/>
        <v>0</v>
      </c>
      <c r="AH183" s="267"/>
      <c r="AI183" s="130">
        <f t="shared" si="194"/>
        <v>0</v>
      </c>
      <c r="AJ183" s="94"/>
      <c r="AK183" s="130">
        <f t="shared" si="195"/>
        <v>0</v>
      </c>
      <c r="AL183" s="94"/>
      <c r="AM183" s="130">
        <f t="shared" si="196"/>
        <v>0</v>
      </c>
      <c r="AN183" s="94"/>
      <c r="AO183" s="130">
        <f t="shared" si="197"/>
        <v>0</v>
      </c>
      <c r="AP183" s="94"/>
      <c r="AQ183" s="130">
        <f t="shared" si="198"/>
        <v>0</v>
      </c>
      <c r="AR183" s="94"/>
      <c r="AS183" s="130">
        <f t="shared" si="199"/>
        <v>0</v>
      </c>
      <c r="AT183" s="94"/>
      <c r="AU183" s="130">
        <f t="shared" si="200"/>
        <v>0</v>
      </c>
      <c r="AV183" s="94"/>
      <c r="AW183" s="130">
        <f t="shared" si="201"/>
        <v>0</v>
      </c>
      <c r="AX183" s="94"/>
      <c r="AY183" s="130">
        <f t="shared" si="202"/>
        <v>0</v>
      </c>
      <c r="BA183" s="82">
        <f t="shared" si="203"/>
        <v>0</v>
      </c>
      <c r="BB183" s="67"/>
      <c r="BC183" s="67"/>
      <c r="BD183" s="67"/>
    </row>
    <row r="184" spans="1:56" s="340" customFormat="1" x14ac:dyDescent="0.2">
      <c r="A184" s="513"/>
      <c r="B184" s="513"/>
      <c r="C184" s="516"/>
      <c r="D184" s="273"/>
      <c r="E184" s="94"/>
      <c r="F184" s="97" t="s">
        <v>443</v>
      </c>
      <c r="G184" s="55"/>
      <c r="H184" s="131">
        <v>2</v>
      </c>
      <c r="I184" s="97"/>
      <c r="J184" s="515">
        <v>1249303.8032836176</v>
      </c>
      <c r="K184" s="267"/>
      <c r="L184" s="130">
        <f t="shared" si="185"/>
        <v>626151.06620574917</v>
      </c>
      <c r="M184" s="94"/>
      <c r="N184" s="130">
        <f t="shared" si="186"/>
        <v>403275.26769995171</v>
      </c>
      <c r="O184" s="94"/>
      <c r="P184" s="130">
        <f t="shared" si="187"/>
        <v>59341.930655971839</v>
      </c>
      <c r="Q184" s="94"/>
      <c r="R184" s="130">
        <f t="shared" si="188"/>
        <v>115060.88028242119</v>
      </c>
      <c r="S184" s="94"/>
      <c r="T184" s="130">
        <f t="shared" si="189"/>
        <v>40977.164747702649</v>
      </c>
      <c r="U184" s="94"/>
      <c r="V184" s="130">
        <f t="shared" si="190"/>
        <v>2248.7468459105116</v>
      </c>
      <c r="W184" s="94"/>
      <c r="X184" s="130">
        <f t="shared" si="191"/>
        <v>2248.7468459105116</v>
      </c>
      <c r="Y184" s="94"/>
      <c r="Z184" s="94">
        <f t="shared" si="147"/>
        <v>0</v>
      </c>
      <c r="AC184" s="97" t="s">
        <v>443</v>
      </c>
      <c r="AE184" s="112">
        <f t="shared" si="192"/>
        <v>2</v>
      </c>
      <c r="AG184" s="550">
        <f t="shared" si="193"/>
        <v>1249303.8032836176</v>
      </c>
      <c r="AH184" s="267"/>
      <c r="AI184" s="130">
        <f t="shared" si="194"/>
        <v>709354.69950443809</v>
      </c>
      <c r="AJ184" s="94"/>
      <c r="AK184" s="130">
        <f t="shared" si="195"/>
        <v>535451.61008735851</v>
      </c>
      <c r="AL184" s="94"/>
      <c r="AM184" s="130">
        <f t="shared" si="196"/>
        <v>0</v>
      </c>
      <c r="AN184" s="94"/>
      <c r="AO184" s="130">
        <f t="shared" si="197"/>
        <v>0</v>
      </c>
      <c r="AP184" s="94"/>
      <c r="AQ184" s="130">
        <f t="shared" si="198"/>
        <v>0</v>
      </c>
      <c r="AR184" s="94"/>
      <c r="AS184" s="130">
        <f t="shared" si="199"/>
        <v>0</v>
      </c>
      <c r="AT184" s="94"/>
      <c r="AU184" s="130">
        <f t="shared" si="200"/>
        <v>0</v>
      </c>
      <c r="AV184" s="94"/>
      <c r="AW184" s="130">
        <f t="shared" si="201"/>
        <v>2248.7468459105116</v>
      </c>
      <c r="AX184" s="94"/>
      <c r="AY184" s="130">
        <f t="shared" si="202"/>
        <v>2248.7468459105116</v>
      </c>
      <c r="BA184" s="82">
        <f t="shared" si="203"/>
        <v>0</v>
      </c>
      <c r="BB184" s="67"/>
      <c r="BC184" s="67"/>
      <c r="BD184" s="67"/>
    </row>
    <row r="185" spans="1:56" s="340" customFormat="1" x14ac:dyDescent="0.2">
      <c r="A185" s="513"/>
      <c r="B185" s="513"/>
      <c r="C185" s="516"/>
      <c r="D185" s="273"/>
      <c r="E185" s="94"/>
      <c r="F185" s="97" t="s">
        <v>564</v>
      </c>
      <c r="G185" s="55"/>
      <c r="H185" s="131">
        <v>2</v>
      </c>
      <c r="I185" s="97"/>
      <c r="J185" s="515">
        <v>1739754.2179932147</v>
      </c>
      <c r="K185" s="267"/>
      <c r="L185" s="130">
        <f t="shared" si="185"/>
        <v>871964.81405819918</v>
      </c>
      <c r="M185" s="94"/>
      <c r="N185" s="130">
        <f t="shared" si="186"/>
        <v>561592.66156820965</v>
      </c>
      <c r="O185" s="94"/>
      <c r="P185" s="130">
        <f t="shared" si="187"/>
        <v>82638.325354677698</v>
      </c>
      <c r="Q185" s="94"/>
      <c r="R185" s="130">
        <f t="shared" si="188"/>
        <v>160231.36347717507</v>
      </c>
      <c r="S185" s="94"/>
      <c r="T185" s="130">
        <f t="shared" si="189"/>
        <v>57063.938350177435</v>
      </c>
      <c r="U185" s="94"/>
      <c r="V185" s="130">
        <f t="shared" si="190"/>
        <v>3131.5575923877864</v>
      </c>
      <c r="W185" s="94"/>
      <c r="X185" s="130">
        <f t="shared" si="191"/>
        <v>3131.5575923877864</v>
      </c>
      <c r="Y185" s="94"/>
      <c r="Z185" s="94">
        <f t="shared" si="147"/>
        <v>0</v>
      </c>
      <c r="AC185" s="97" t="s">
        <v>444</v>
      </c>
      <c r="AE185" s="112">
        <f t="shared" si="192"/>
        <v>2</v>
      </c>
      <c r="AG185" s="550">
        <f t="shared" si="193"/>
        <v>1739754.2179932147</v>
      </c>
      <c r="AH185" s="267"/>
      <c r="AI185" s="130">
        <f t="shared" si="194"/>
        <v>987832.44497654727</v>
      </c>
      <c r="AJ185" s="94"/>
      <c r="AK185" s="130">
        <f t="shared" si="195"/>
        <v>745658.65783189179</v>
      </c>
      <c r="AL185" s="94"/>
      <c r="AM185" s="130">
        <f t="shared" si="196"/>
        <v>0</v>
      </c>
      <c r="AN185" s="94"/>
      <c r="AO185" s="130">
        <f t="shared" si="197"/>
        <v>0</v>
      </c>
      <c r="AP185" s="94"/>
      <c r="AQ185" s="130">
        <f t="shared" si="198"/>
        <v>0</v>
      </c>
      <c r="AR185" s="94"/>
      <c r="AS185" s="130">
        <f t="shared" si="199"/>
        <v>0</v>
      </c>
      <c r="AT185" s="94"/>
      <c r="AU185" s="130">
        <f t="shared" si="200"/>
        <v>0</v>
      </c>
      <c r="AV185" s="94"/>
      <c r="AW185" s="130">
        <f t="shared" si="201"/>
        <v>3131.5575923877864</v>
      </c>
      <c r="AX185" s="94"/>
      <c r="AY185" s="130">
        <f t="shared" si="202"/>
        <v>3131.5575923877864</v>
      </c>
      <c r="BA185" s="82">
        <f t="shared" si="203"/>
        <v>0</v>
      </c>
      <c r="BB185" s="67"/>
      <c r="BC185" s="67"/>
      <c r="BD185" s="67"/>
    </row>
    <row r="186" spans="1:56" s="340" customFormat="1" x14ac:dyDescent="0.2">
      <c r="A186" s="513"/>
      <c r="B186" s="513"/>
      <c r="C186" s="516"/>
      <c r="D186" s="273"/>
      <c r="E186" s="94"/>
      <c r="F186" s="97" t="s">
        <v>587</v>
      </c>
      <c r="G186" s="55"/>
      <c r="H186" s="131">
        <v>2</v>
      </c>
      <c r="I186" s="97"/>
      <c r="J186" s="515">
        <v>20741.473131597235</v>
      </c>
      <c r="K186" s="267"/>
      <c r="L186" s="130">
        <f t="shared" si="185"/>
        <v>10395.626333556535</v>
      </c>
      <c r="M186" s="94"/>
      <c r="N186" s="130">
        <f t="shared" si="186"/>
        <v>6695.3475268795873</v>
      </c>
      <c r="O186" s="94"/>
      <c r="P186" s="130">
        <f t="shared" si="187"/>
        <v>985.21997375086869</v>
      </c>
      <c r="Q186" s="94"/>
      <c r="R186" s="130">
        <f t="shared" si="188"/>
        <v>1910.2896754201054</v>
      </c>
      <c r="S186" s="94"/>
      <c r="T186" s="130">
        <f t="shared" si="189"/>
        <v>680.32031871638924</v>
      </c>
      <c r="U186" s="94"/>
      <c r="V186" s="130">
        <f t="shared" si="190"/>
        <v>37.334651636875023</v>
      </c>
      <c r="W186" s="94"/>
      <c r="X186" s="130">
        <f t="shared" si="191"/>
        <v>37.334651636875023</v>
      </c>
      <c r="Y186" s="94"/>
      <c r="Z186" s="94">
        <f t="shared" si="147"/>
        <v>0</v>
      </c>
      <c r="AC186" s="97" t="s">
        <v>445</v>
      </c>
      <c r="AE186" s="112">
        <f t="shared" si="192"/>
        <v>2</v>
      </c>
      <c r="AG186" s="550">
        <f t="shared" si="193"/>
        <v>20741.473131597235</v>
      </c>
      <c r="AH186" s="267"/>
      <c r="AI186" s="130">
        <f t="shared" si="194"/>
        <v>11777.008444120909</v>
      </c>
      <c r="AJ186" s="94"/>
      <c r="AK186" s="130">
        <f t="shared" si="195"/>
        <v>8889.7953842025745</v>
      </c>
      <c r="AL186" s="94"/>
      <c r="AM186" s="130">
        <f t="shared" si="196"/>
        <v>0</v>
      </c>
      <c r="AN186" s="94"/>
      <c r="AO186" s="130">
        <f t="shared" si="197"/>
        <v>0</v>
      </c>
      <c r="AP186" s="94"/>
      <c r="AQ186" s="130">
        <f t="shared" si="198"/>
        <v>0</v>
      </c>
      <c r="AR186" s="94"/>
      <c r="AS186" s="130">
        <f t="shared" si="199"/>
        <v>0</v>
      </c>
      <c r="AT186" s="94"/>
      <c r="AU186" s="130">
        <f t="shared" si="200"/>
        <v>0</v>
      </c>
      <c r="AV186" s="94"/>
      <c r="AW186" s="130">
        <f t="shared" si="201"/>
        <v>37.334651636875023</v>
      </c>
      <c r="AX186" s="94"/>
      <c r="AY186" s="130">
        <f t="shared" si="202"/>
        <v>37.334651636875023</v>
      </c>
      <c r="BA186" s="82">
        <f t="shared" si="203"/>
        <v>0</v>
      </c>
      <c r="BB186" s="67"/>
      <c r="BC186" s="67"/>
      <c r="BD186" s="67"/>
    </row>
    <row r="187" spans="1:56" s="340" customFormat="1" x14ac:dyDescent="0.2">
      <c r="A187" s="511"/>
      <c r="B187" s="512"/>
      <c r="C187" s="516"/>
      <c r="D187" s="273"/>
      <c r="E187" s="94"/>
      <c r="F187" s="97" t="s">
        <v>446</v>
      </c>
      <c r="G187" s="55"/>
      <c r="H187" s="131">
        <v>7</v>
      </c>
      <c r="I187" s="97"/>
      <c r="J187" s="515">
        <v>20851.854458847214</v>
      </c>
      <c r="K187" s="267"/>
      <c r="L187" s="130">
        <f t="shared" si="185"/>
        <v>9958.8456895454292</v>
      </c>
      <c r="M187" s="94"/>
      <c r="N187" s="130">
        <f t="shared" si="186"/>
        <v>6474.5008094720597</v>
      </c>
      <c r="O187" s="94"/>
      <c r="P187" s="130">
        <f t="shared" si="187"/>
        <v>254.39262439793603</v>
      </c>
      <c r="Q187" s="94"/>
      <c r="R187" s="130">
        <f t="shared" si="188"/>
        <v>1588.9113097641577</v>
      </c>
      <c r="S187" s="94"/>
      <c r="T187" s="130">
        <f t="shared" si="189"/>
        <v>139.70742487427634</v>
      </c>
      <c r="U187" s="94"/>
      <c r="V187" s="130">
        <f t="shared" si="190"/>
        <v>1178.1297769248677</v>
      </c>
      <c r="W187" s="94"/>
      <c r="X187" s="130">
        <f t="shared" si="191"/>
        <v>1257.3668238684868</v>
      </c>
      <c r="Y187" s="94"/>
      <c r="Z187" s="94">
        <f t="shared" si="147"/>
        <v>0</v>
      </c>
      <c r="AC187" s="97" t="s">
        <v>446</v>
      </c>
      <c r="AE187" s="112">
        <f t="shared" si="192"/>
        <v>7</v>
      </c>
      <c r="AG187" s="550">
        <f t="shared" si="193"/>
        <v>20851.854458847214</v>
      </c>
      <c r="AH187" s="267"/>
      <c r="AI187" s="130">
        <f t="shared" si="194"/>
        <v>8067.5824901279875</v>
      </c>
      <c r="AJ187" s="94"/>
      <c r="AK187" s="130">
        <f t="shared" si="195"/>
        <v>1828.7076360409008</v>
      </c>
      <c r="AL187" s="94"/>
      <c r="AM187" s="130">
        <f t="shared" si="196"/>
        <v>8520.0677318849721</v>
      </c>
      <c r="AN187" s="94"/>
      <c r="AO187" s="130">
        <f t="shared" si="197"/>
        <v>0</v>
      </c>
      <c r="AP187" s="94"/>
      <c r="AQ187" s="130">
        <f t="shared" si="198"/>
        <v>0</v>
      </c>
      <c r="AR187" s="94"/>
      <c r="AS187" s="130">
        <f t="shared" si="199"/>
        <v>0</v>
      </c>
      <c r="AT187" s="94"/>
      <c r="AU187" s="130">
        <f t="shared" si="200"/>
        <v>0</v>
      </c>
      <c r="AV187" s="94"/>
      <c r="AW187" s="130">
        <f t="shared" si="201"/>
        <v>1178.1297769248677</v>
      </c>
      <c r="AX187" s="94"/>
      <c r="AY187" s="130">
        <f t="shared" si="202"/>
        <v>1257.3668238684868</v>
      </c>
      <c r="BA187" s="82">
        <f t="shared" si="203"/>
        <v>0</v>
      </c>
      <c r="BB187" s="67"/>
      <c r="BC187" s="67"/>
      <c r="BD187" s="67"/>
    </row>
    <row r="188" spans="1:56" s="340" customFormat="1" x14ac:dyDescent="0.2">
      <c r="A188" s="511"/>
      <c r="B188" s="512"/>
      <c r="C188" s="516"/>
      <c r="D188" s="273"/>
      <c r="E188" s="94"/>
      <c r="F188" s="97" t="s">
        <v>548</v>
      </c>
      <c r="G188" s="55"/>
      <c r="H188" s="131">
        <v>7</v>
      </c>
      <c r="I188" s="97"/>
      <c r="J188" s="515">
        <v>49403.208326744403</v>
      </c>
      <c r="K188" s="267"/>
      <c r="L188" s="130">
        <f t="shared" si="185"/>
        <v>23594.972296853128</v>
      </c>
      <c r="M188" s="94"/>
      <c r="N188" s="130">
        <f t="shared" si="186"/>
        <v>15339.696185454137</v>
      </c>
      <c r="O188" s="94"/>
      <c r="P188" s="130">
        <f t="shared" si="187"/>
        <v>602.71914158628181</v>
      </c>
      <c r="Q188" s="94"/>
      <c r="R188" s="130">
        <f t="shared" si="188"/>
        <v>3764.5244744979236</v>
      </c>
      <c r="S188" s="94"/>
      <c r="T188" s="130">
        <f t="shared" si="189"/>
        <v>331.00149578918752</v>
      </c>
      <c r="U188" s="94"/>
      <c r="V188" s="130">
        <f t="shared" si="190"/>
        <v>2791.2812704610587</v>
      </c>
      <c r="W188" s="94"/>
      <c r="X188" s="130">
        <f t="shared" si="191"/>
        <v>2979.0134621026873</v>
      </c>
      <c r="Y188" s="94"/>
      <c r="Z188" s="94">
        <f t="shared" si="147"/>
        <v>0</v>
      </c>
      <c r="AC188" s="97" t="s">
        <v>548</v>
      </c>
      <c r="AE188" s="112">
        <f t="shared" si="192"/>
        <v>7</v>
      </c>
      <c r="AG188" s="550">
        <f t="shared" si="193"/>
        <v>49403.208326744403</v>
      </c>
      <c r="AH188" s="267"/>
      <c r="AI188" s="130">
        <f t="shared" si="194"/>
        <v>19114.101301617411</v>
      </c>
      <c r="AJ188" s="94"/>
      <c r="AK188" s="130">
        <f t="shared" si="195"/>
        <v>4332.6613702554841</v>
      </c>
      <c r="AL188" s="94"/>
      <c r="AM188" s="130">
        <f t="shared" si="196"/>
        <v>20186.150922307763</v>
      </c>
      <c r="AN188" s="94"/>
      <c r="AO188" s="130">
        <f t="shared" si="197"/>
        <v>0</v>
      </c>
      <c r="AP188" s="94"/>
      <c r="AQ188" s="130">
        <f t="shared" si="198"/>
        <v>0</v>
      </c>
      <c r="AR188" s="94"/>
      <c r="AS188" s="130">
        <f t="shared" si="199"/>
        <v>0</v>
      </c>
      <c r="AT188" s="94"/>
      <c r="AU188" s="130">
        <f t="shared" si="200"/>
        <v>0</v>
      </c>
      <c r="AV188" s="94"/>
      <c r="AW188" s="130">
        <f t="shared" si="201"/>
        <v>2791.2812704610587</v>
      </c>
      <c r="AX188" s="94"/>
      <c r="AY188" s="130">
        <f t="shared" si="202"/>
        <v>2979.0134621026873</v>
      </c>
      <c r="BA188" s="82">
        <f t="shared" si="203"/>
        <v>0</v>
      </c>
      <c r="BB188" s="67"/>
      <c r="BC188" s="67"/>
      <c r="BD188" s="67"/>
    </row>
    <row r="189" spans="1:56" s="340" customFormat="1" x14ac:dyDescent="0.2">
      <c r="A189" s="513"/>
      <c r="B189" s="513"/>
      <c r="C189" s="516"/>
      <c r="D189" s="273"/>
      <c r="E189" s="94"/>
      <c r="F189" s="97" t="s">
        <v>447</v>
      </c>
      <c r="G189" s="55"/>
      <c r="H189" s="131">
        <v>5</v>
      </c>
      <c r="I189" s="97"/>
      <c r="J189" s="515">
        <v>371649.91199805768</v>
      </c>
      <c r="K189" s="267"/>
      <c r="L189" s="130">
        <f t="shared" si="185"/>
        <v>149217.43966722014</v>
      </c>
      <c r="M189" s="94"/>
      <c r="N189" s="130">
        <f t="shared" si="186"/>
        <v>97260.781969891686</v>
      </c>
      <c r="O189" s="94"/>
      <c r="P189" s="130">
        <f t="shared" si="187"/>
        <v>12301.612087135711</v>
      </c>
      <c r="Q189" s="94"/>
      <c r="R189" s="130">
        <f t="shared" si="188"/>
        <v>22707.809623081324</v>
      </c>
      <c r="S189" s="94"/>
      <c r="T189" s="130">
        <f t="shared" si="189"/>
        <v>7581.658204760377</v>
      </c>
      <c r="U189" s="94"/>
      <c r="V189" s="130">
        <f t="shared" si="190"/>
        <v>39915.200548591391</v>
      </c>
      <c r="W189" s="94"/>
      <c r="X189" s="130">
        <f t="shared" si="191"/>
        <v>42665.409897377023</v>
      </c>
      <c r="Y189" s="94"/>
      <c r="Z189" s="94">
        <f t="shared" si="147"/>
        <v>0</v>
      </c>
      <c r="AC189" s="97" t="s">
        <v>447</v>
      </c>
      <c r="AE189" s="112">
        <f t="shared" si="192"/>
        <v>5</v>
      </c>
      <c r="AG189" s="550">
        <f t="shared" si="193"/>
        <v>371649.91199805768</v>
      </c>
      <c r="AH189" s="267"/>
      <c r="AI189" s="130">
        <f t="shared" si="194"/>
        <v>115174.30772819808</v>
      </c>
      <c r="AJ189" s="94"/>
      <c r="AK189" s="130">
        <f t="shared" si="195"/>
        <v>0</v>
      </c>
      <c r="AL189" s="94"/>
      <c r="AM189" s="130">
        <f t="shared" si="196"/>
        <v>173894.99382389119</v>
      </c>
      <c r="AN189" s="94"/>
      <c r="AO189" s="130">
        <f t="shared" si="197"/>
        <v>0</v>
      </c>
      <c r="AP189" s="94"/>
      <c r="AQ189" s="130">
        <f t="shared" si="198"/>
        <v>0</v>
      </c>
      <c r="AR189" s="94"/>
      <c r="AS189" s="130">
        <f t="shared" si="199"/>
        <v>0</v>
      </c>
      <c r="AT189" s="94"/>
      <c r="AU189" s="130">
        <f t="shared" si="200"/>
        <v>0</v>
      </c>
      <c r="AV189" s="94"/>
      <c r="AW189" s="130">
        <f t="shared" si="201"/>
        <v>39915.200548591391</v>
      </c>
      <c r="AX189" s="94"/>
      <c r="AY189" s="130">
        <f t="shared" si="202"/>
        <v>42665.409897377023</v>
      </c>
      <c r="BA189" s="82">
        <f t="shared" si="203"/>
        <v>0</v>
      </c>
      <c r="BB189" s="67"/>
      <c r="BC189" s="67"/>
      <c r="BD189" s="67"/>
    </row>
    <row r="190" spans="1:56" s="340" customFormat="1" x14ac:dyDescent="0.2">
      <c r="A190" s="513"/>
      <c r="B190" s="495"/>
      <c r="C190" s="516"/>
      <c r="D190" s="273"/>
      <c r="E190" s="94"/>
      <c r="F190" s="97" t="s">
        <v>448</v>
      </c>
      <c r="G190" s="55"/>
      <c r="H190" s="131"/>
      <c r="I190" s="97"/>
      <c r="J190" s="515"/>
      <c r="K190" s="267"/>
      <c r="L190" s="130"/>
      <c r="M190" s="94"/>
      <c r="N190" s="130"/>
      <c r="O190" s="94"/>
      <c r="P190" s="130"/>
      <c r="Q190" s="94"/>
      <c r="R190" s="130"/>
      <c r="S190" s="94"/>
      <c r="T190" s="130"/>
      <c r="U190" s="94"/>
      <c r="V190" s="130"/>
      <c r="W190" s="94"/>
      <c r="X190" s="130"/>
      <c r="Y190" s="94"/>
      <c r="Z190" s="94">
        <f t="shared" si="147"/>
        <v>0</v>
      </c>
      <c r="AC190" s="97" t="s">
        <v>448</v>
      </c>
      <c r="AE190" s="112"/>
      <c r="AG190" s="550"/>
      <c r="AH190" s="267"/>
      <c r="AI190" s="130"/>
      <c r="AJ190" s="94"/>
      <c r="AK190" s="130"/>
      <c r="AL190" s="94"/>
      <c r="AM190" s="130"/>
      <c r="AN190" s="94"/>
      <c r="AO190" s="130"/>
      <c r="AP190" s="94"/>
      <c r="AQ190" s="130"/>
      <c r="AR190" s="94"/>
      <c r="AS190" s="130"/>
      <c r="AT190" s="94"/>
      <c r="AU190" s="130"/>
      <c r="AV190" s="94"/>
      <c r="AW190" s="130"/>
      <c r="AX190" s="94"/>
      <c r="AY190" s="130"/>
      <c r="BA190" s="82">
        <f t="shared" si="203"/>
        <v>0</v>
      </c>
      <c r="BB190" s="67"/>
      <c r="BC190" s="67"/>
      <c r="BD190" s="67"/>
    </row>
    <row r="191" spans="1:56" s="340" customFormat="1" x14ac:dyDescent="0.2">
      <c r="A191" s="551"/>
      <c r="B191" s="495"/>
      <c r="C191" s="516"/>
      <c r="D191" s="273"/>
      <c r="E191" s="94"/>
      <c r="F191" s="225" t="s">
        <v>646</v>
      </c>
      <c r="G191" s="55"/>
      <c r="H191" s="131">
        <v>4</v>
      </c>
      <c r="I191" s="97"/>
      <c r="J191" s="515">
        <v>31669.766303981462</v>
      </c>
      <c r="K191" s="267"/>
      <c r="L191" s="130">
        <f t="shared" ref="L191:L229" si="204">(VLOOKUP($H191,Factors,L$378))*$J191</f>
        <v>15255.32642862787</v>
      </c>
      <c r="M191" s="94"/>
      <c r="N191" s="130">
        <f t="shared" ref="N191:N229" si="205">(VLOOKUP($H191,Factors,N$378))*$J191</f>
        <v>9953.8075493413744</v>
      </c>
      <c r="O191" s="94"/>
      <c r="P191" s="130">
        <f t="shared" ref="P191:P229" si="206">(VLOOKUP($H191,Factors,P$378))*$J191</f>
        <v>101.34325217274068</v>
      </c>
      <c r="Q191" s="94"/>
      <c r="R191" s="130">
        <f t="shared" ref="R191:R229" si="207">(VLOOKUP($H191,Factors,R$378))*$J191</f>
        <v>2337.2287532338319</v>
      </c>
      <c r="S191" s="94"/>
      <c r="T191" s="130">
        <f t="shared" ref="T191:T229" si="208">(VLOOKUP($H191,Factors,T$378))*$J191</f>
        <v>0</v>
      </c>
      <c r="U191" s="94"/>
      <c r="V191" s="130">
        <f t="shared" ref="V191:V229" si="209">(VLOOKUP($H191,Factors,V$378))*$J191</f>
        <v>1944.5236510644615</v>
      </c>
      <c r="W191" s="94"/>
      <c r="X191" s="130">
        <f t="shared" ref="X191:X229" si="210">(VLOOKUP($H191,Factors,X$378))*$J191</f>
        <v>2077.536669541184</v>
      </c>
      <c r="Y191" s="94"/>
      <c r="Z191" s="94">
        <f t="shared" si="147"/>
        <v>0</v>
      </c>
      <c r="AC191" s="225" t="s">
        <v>646</v>
      </c>
      <c r="AE191" s="112">
        <f t="shared" si="192"/>
        <v>4</v>
      </c>
      <c r="AG191" s="550">
        <f t="shared" si="193"/>
        <v>31669.766303981462</v>
      </c>
      <c r="AH191" s="267"/>
      <c r="AI191" s="130">
        <f t="shared" ref="AI191:AI229" si="211">(VLOOKUP($AE191,func,AI$378))*$AG191</f>
        <v>11014.744720524754</v>
      </c>
      <c r="AJ191" s="94"/>
      <c r="AK191" s="130">
        <f t="shared" ref="AK191:AK229" si="212">(VLOOKUP($AE191,func,AK$378))*$AG191</f>
        <v>0</v>
      </c>
      <c r="AL191" s="94"/>
      <c r="AM191" s="130">
        <f t="shared" ref="AM191:AM229" si="213">(VLOOKUP($AE191,func,AM$378))*$AG191</f>
        <v>16632.961262851062</v>
      </c>
      <c r="AN191" s="94"/>
      <c r="AO191" s="130">
        <f t="shared" ref="AO191:AO229" si="214">(VLOOKUP($AE191,func,AO$378))*$AG191</f>
        <v>0</v>
      </c>
      <c r="AP191" s="94"/>
      <c r="AQ191" s="130">
        <f t="shared" ref="AQ191:AQ229" si="215">(VLOOKUP($AE191,func,AQ$378))*$AG191</f>
        <v>0</v>
      </c>
      <c r="AR191" s="94"/>
      <c r="AS191" s="130">
        <f t="shared" ref="AS191:AS229" si="216">(VLOOKUP($AE191,func,AS$378))*$AG191</f>
        <v>0</v>
      </c>
      <c r="AT191" s="94"/>
      <c r="AU191" s="130">
        <f t="shared" ref="AU191:AU229" si="217">(VLOOKUP($AE191,func,AU$378))*$AG191</f>
        <v>0</v>
      </c>
      <c r="AV191" s="94"/>
      <c r="AW191" s="130">
        <f t="shared" ref="AW191:AW229" si="218">(VLOOKUP($AE191,func,AW$378))*$AG191</f>
        <v>1944.5236510644615</v>
      </c>
      <c r="AX191" s="94"/>
      <c r="AY191" s="130">
        <f t="shared" ref="AY191:AY229" si="219">(VLOOKUP($AE191,func,AY$378))*$AG191</f>
        <v>2077.536669541184</v>
      </c>
      <c r="BA191" s="82">
        <f t="shared" si="203"/>
        <v>0</v>
      </c>
      <c r="BB191" s="67"/>
      <c r="BC191" s="67"/>
      <c r="BD191" s="67"/>
    </row>
    <row r="192" spans="1:56" s="340" customFormat="1" x14ac:dyDescent="0.2">
      <c r="A192" s="551"/>
      <c r="B192" s="495"/>
      <c r="C192" s="516"/>
      <c r="D192" s="273"/>
      <c r="E192" s="94"/>
      <c r="F192" s="225" t="s">
        <v>647</v>
      </c>
      <c r="G192" s="55"/>
      <c r="H192" s="131">
        <v>3</v>
      </c>
      <c r="I192" s="97"/>
      <c r="J192" s="515">
        <v>35945.015397634488</v>
      </c>
      <c r="K192" s="267"/>
      <c r="L192" s="130">
        <f t="shared" si="204"/>
        <v>16613.786116786661</v>
      </c>
      <c r="M192" s="94"/>
      <c r="N192" s="130">
        <f t="shared" si="205"/>
        <v>10693.64208079626</v>
      </c>
      <c r="O192" s="94"/>
      <c r="P192" s="130">
        <f t="shared" si="206"/>
        <v>1574.3916744163905</v>
      </c>
      <c r="Q192" s="94"/>
      <c r="R192" s="130">
        <f t="shared" si="207"/>
        <v>3048.1373057194046</v>
      </c>
      <c r="S192" s="94"/>
      <c r="T192" s="130">
        <f t="shared" si="208"/>
        <v>1089.1339665483249</v>
      </c>
      <c r="U192" s="94"/>
      <c r="V192" s="130">
        <f t="shared" si="209"/>
        <v>1412.6391051270352</v>
      </c>
      <c r="W192" s="94"/>
      <c r="X192" s="130">
        <f t="shared" si="210"/>
        <v>1513.2851482404119</v>
      </c>
      <c r="Y192" s="94"/>
      <c r="Z192" s="94">
        <f t="shared" ref="Z192" si="220">SUM(L192:X192)-J192</f>
        <v>0</v>
      </c>
      <c r="AC192" s="225" t="s">
        <v>647</v>
      </c>
      <c r="AE192" s="112">
        <f t="shared" si="192"/>
        <v>3</v>
      </c>
      <c r="AG192" s="550">
        <f t="shared" si="193"/>
        <v>35945.015397634488</v>
      </c>
      <c r="AH192" s="267"/>
      <c r="AI192" s="130">
        <f t="shared" si="211"/>
        <v>18935.83411147385</v>
      </c>
      <c r="AJ192" s="94"/>
      <c r="AK192" s="130">
        <f t="shared" si="212"/>
        <v>14201.875583605386</v>
      </c>
      <c r="AL192" s="94"/>
      <c r="AM192" s="130">
        <f t="shared" si="213"/>
        <v>0</v>
      </c>
      <c r="AN192" s="94"/>
      <c r="AO192" s="130">
        <f t="shared" si="214"/>
        <v>0</v>
      </c>
      <c r="AP192" s="94"/>
      <c r="AQ192" s="130">
        <f t="shared" si="215"/>
        <v>0</v>
      </c>
      <c r="AR192" s="94"/>
      <c r="AS192" s="130">
        <f t="shared" si="216"/>
        <v>0</v>
      </c>
      <c r="AT192" s="94"/>
      <c r="AU192" s="130">
        <f t="shared" si="217"/>
        <v>0</v>
      </c>
      <c r="AV192" s="94"/>
      <c r="AW192" s="130">
        <f t="shared" si="218"/>
        <v>1355.1270804908202</v>
      </c>
      <c r="AX192" s="94"/>
      <c r="AY192" s="130">
        <f t="shared" si="219"/>
        <v>1452.1786220644333</v>
      </c>
      <c r="BA192" s="82">
        <f t="shared" si="203"/>
        <v>0</v>
      </c>
      <c r="BB192" s="67"/>
      <c r="BC192" s="67"/>
      <c r="BD192" s="67"/>
    </row>
    <row r="193" spans="1:56" s="340" customFormat="1" x14ac:dyDescent="0.2">
      <c r="A193" s="513"/>
      <c r="B193" s="685"/>
      <c r="C193" s="516"/>
      <c r="D193" s="273"/>
      <c r="E193" s="94"/>
      <c r="F193" s="97" t="s">
        <v>570</v>
      </c>
      <c r="G193" s="55"/>
      <c r="H193" s="131">
        <v>4</v>
      </c>
      <c r="I193" s="97"/>
      <c r="J193" s="515">
        <v>225935.11036660284</v>
      </c>
      <c r="K193" s="267"/>
      <c r="L193" s="130">
        <f t="shared" si="204"/>
        <v>108832.94266359259</v>
      </c>
      <c r="M193" s="94"/>
      <c r="N193" s="130">
        <f t="shared" si="205"/>
        <v>71011.405188223274</v>
      </c>
      <c r="O193" s="94"/>
      <c r="P193" s="130">
        <f t="shared" si="206"/>
        <v>722.99235317312912</v>
      </c>
      <c r="Q193" s="94"/>
      <c r="R193" s="130">
        <f t="shared" si="207"/>
        <v>16674.01114505529</v>
      </c>
      <c r="S193" s="94"/>
      <c r="T193" s="130">
        <f t="shared" si="208"/>
        <v>0</v>
      </c>
      <c r="U193" s="94"/>
      <c r="V193" s="130">
        <f t="shared" si="209"/>
        <v>13872.415776509413</v>
      </c>
      <c r="W193" s="94"/>
      <c r="X193" s="130">
        <f t="shared" si="210"/>
        <v>14821.343240049147</v>
      </c>
      <c r="Y193" s="94"/>
      <c r="Z193" s="94">
        <f t="shared" si="147"/>
        <v>0</v>
      </c>
      <c r="AC193" s="97" t="s">
        <v>570</v>
      </c>
      <c r="AE193" s="112">
        <f t="shared" ref="AE193:AE227" si="221">+H193</f>
        <v>4</v>
      </c>
      <c r="AG193" s="550">
        <f t="shared" si="193"/>
        <v>225935.11036660284</v>
      </c>
      <c r="AH193" s="267"/>
      <c r="AI193" s="130">
        <f t="shared" si="211"/>
        <v>78580.231385504478</v>
      </c>
      <c r="AJ193" s="94"/>
      <c r="AK193" s="130">
        <f t="shared" si="212"/>
        <v>0</v>
      </c>
      <c r="AL193" s="94"/>
      <c r="AM193" s="130">
        <f t="shared" si="213"/>
        <v>118661.11996453982</v>
      </c>
      <c r="AN193" s="94"/>
      <c r="AO193" s="130">
        <f t="shared" si="214"/>
        <v>0</v>
      </c>
      <c r="AP193" s="94"/>
      <c r="AQ193" s="130">
        <f t="shared" si="215"/>
        <v>0</v>
      </c>
      <c r="AR193" s="94"/>
      <c r="AS193" s="130">
        <f t="shared" si="216"/>
        <v>0</v>
      </c>
      <c r="AT193" s="94"/>
      <c r="AU193" s="130">
        <f t="shared" si="217"/>
        <v>0</v>
      </c>
      <c r="AV193" s="94"/>
      <c r="AW193" s="130">
        <f t="shared" si="218"/>
        <v>13872.415776509413</v>
      </c>
      <c r="AX193" s="94"/>
      <c r="AY193" s="130">
        <f t="shared" si="219"/>
        <v>14821.343240049147</v>
      </c>
      <c r="BA193" s="82">
        <f t="shared" si="203"/>
        <v>0</v>
      </c>
      <c r="BB193" s="67"/>
      <c r="BC193" s="67"/>
      <c r="BD193" s="67"/>
    </row>
    <row r="194" spans="1:56" s="340" customFormat="1" x14ac:dyDescent="0.2">
      <c r="A194" s="513"/>
      <c r="B194" s="513"/>
      <c r="C194" s="516"/>
      <c r="D194" s="273"/>
      <c r="E194" s="94"/>
      <c r="F194" s="97" t="s">
        <v>568</v>
      </c>
      <c r="G194" s="55"/>
      <c r="H194" s="131">
        <v>4</v>
      </c>
      <c r="I194" s="97"/>
      <c r="J194" s="515">
        <v>1312315.3020447134</v>
      </c>
      <c r="K194" s="267"/>
      <c r="L194" s="130">
        <f t="shared" si="204"/>
        <v>632142.28099493845</v>
      </c>
      <c r="M194" s="94"/>
      <c r="N194" s="130">
        <f t="shared" si="205"/>
        <v>412460.69943265343</v>
      </c>
      <c r="O194" s="94"/>
      <c r="P194" s="130">
        <f t="shared" si="206"/>
        <v>4199.4089665430829</v>
      </c>
      <c r="Q194" s="94"/>
      <c r="R194" s="130">
        <f t="shared" si="207"/>
        <v>96848.869290899849</v>
      </c>
      <c r="S194" s="94"/>
      <c r="T194" s="130">
        <f t="shared" si="208"/>
        <v>0</v>
      </c>
      <c r="U194" s="94"/>
      <c r="V194" s="130">
        <f t="shared" si="209"/>
        <v>80576.159545545393</v>
      </c>
      <c r="W194" s="94"/>
      <c r="X194" s="130">
        <f t="shared" si="210"/>
        <v>86087.883814133209</v>
      </c>
      <c r="Y194" s="94"/>
      <c r="Z194" s="94">
        <f t="shared" si="147"/>
        <v>0</v>
      </c>
      <c r="AC194" s="97" t="s">
        <v>568</v>
      </c>
      <c r="AE194" s="112">
        <f t="shared" si="221"/>
        <v>4</v>
      </c>
      <c r="AG194" s="550">
        <f t="shared" si="193"/>
        <v>1312315.3020447134</v>
      </c>
      <c r="AH194" s="267"/>
      <c r="AI194" s="130">
        <f t="shared" si="211"/>
        <v>456423.26205115137</v>
      </c>
      <c r="AJ194" s="94"/>
      <c r="AK194" s="130">
        <f t="shared" si="212"/>
        <v>0</v>
      </c>
      <c r="AL194" s="94"/>
      <c r="AM194" s="130">
        <f t="shared" si="213"/>
        <v>689227.99663388345</v>
      </c>
      <c r="AN194" s="94"/>
      <c r="AO194" s="130">
        <f t="shared" si="214"/>
        <v>0</v>
      </c>
      <c r="AP194" s="94"/>
      <c r="AQ194" s="130">
        <f t="shared" si="215"/>
        <v>0</v>
      </c>
      <c r="AR194" s="94"/>
      <c r="AS194" s="130">
        <f t="shared" si="216"/>
        <v>0</v>
      </c>
      <c r="AT194" s="94"/>
      <c r="AU194" s="130">
        <f t="shared" si="217"/>
        <v>0</v>
      </c>
      <c r="AV194" s="94"/>
      <c r="AW194" s="130">
        <f t="shared" si="218"/>
        <v>80576.159545545393</v>
      </c>
      <c r="AX194" s="94"/>
      <c r="AY194" s="130">
        <f t="shared" si="219"/>
        <v>86087.883814133209</v>
      </c>
      <c r="BA194" s="82">
        <f t="shared" si="203"/>
        <v>0</v>
      </c>
      <c r="BB194" s="67"/>
      <c r="BC194" s="67"/>
      <c r="BD194" s="67"/>
    </row>
    <row r="195" spans="1:56" s="340" customFormat="1" x14ac:dyDescent="0.2">
      <c r="A195" s="513"/>
      <c r="B195" s="513"/>
      <c r="C195" s="516"/>
      <c r="D195" s="273"/>
      <c r="E195" s="94"/>
      <c r="F195" s="97" t="s">
        <v>569</v>
      </c>
      <c r="G195" s="55"/>
      <c r="H195" s="131">
        <v>3</v>
      </c>
      <c r="I195" s="97"/>
      <c r="J195" s="515">
        <v>748486.97100354277</v>
      </c>
      <c r="K195" s="267"/>
      <c r="L195" s="130">
        <f t="shared" si="204"/>
        <v>345950.67799783748</v>
      </c>
      <c r="M195" s="94"/>
      <c r="N195" s="130">
        <f t="shared" si="205"/>
        <v>222674.87387355397</v>
      </c>
      <c r="O195" s="94"/>
      <c r="P195" s="130">
        <f t="shared" si="206"/>
        <v>32783.729329955175</v>
      </c>
      <c r="Q195" s="94"/>
      <c r="R195" s="130">
        <f t="shared" si="207"/>
        <v>63471.695141100427</v>
      </c>
      <c r="S195" s="94"/>
      <c r="T195" s="130">
        <f t="shared" si="208"/>
        <v>22679.155221407345</v>
      </c>
      <c r="U195" s="94"/>
      <c r="V195" s="130">
        <f t="shared" si="209"/>
        <v>29415.537960439226</v>
      </c>
      <c r="W195" s="94"/>
      <c r="X195" s="130">
        <f t="shared" si="210"/>
        <v>31511.301479249149</v>
      </c>
      <c r="Y195" s="94"/>
      <c r="Z195" s="94">
        <f t="shared" si="147"/>
        <v>0</v>
      </c>
      <c r="AC195" s="97" t="s">
        <v>569</v>
      </c>
      <c r="AE195" s="112">
        <f t="shared" si="221"/>
        <v>3</v>
      </c>
      <c r="AG195" s="550">
        <f t="shared" si="193"/>
        <v>748486.97100354277</v>
      </c>
      <c r="AH195" s="267"/>
      <c r="AI195" s="130">
        <f t="shared" si="211"/>
        <v>394302.93632466637</v>
      </c>
      <c r="AJ195" s="94"/>
      <c r="AK195" s="130">
        <f t="shared" si="212"/>
        <v>295727.20224349975</v>
      </c>
      <c r="AL195" s="94"/>
      <c r="AM195" s="130">
        <f t="shared" si="213"/>
        <v>0</v>
      </c>
      <c r="AN195" s="94"/>
      <c r="AO195" s="130">
        <f t="shared" si="214"/>
        <v>0</v>
      </c>
      <c r="AP195" s="94"/>
      <c r="AQ195" s="130">
        <f t="shared" si="215"/>
        <v>0</v>
      </c>
      <c r="AR195" s="94"/>
      <c r="AS195" s="130">
        <f t="shared" si="216"/>
        <v>0</v>
      </c>
      <c r="AT195" s="94"/>
      <c r="AU195" s="130">
        <f t="shared" si="217"/>
        <v>0</v>
      </c>
      <c r="AV195" s="94"/>
      <c r="AW195" s="130">
        <f t="shared" si="218"/>
        <v>28217.958806833562</v>
      </c>
      <c r="AX195" s="94"/>
      <c r="AY195" s="130">
        <f t="shared" si="219"/>
        <v>30238.873628543126</v>
      </c>
      <c r="BA195" s="82">
        <f t="shared" si="203"/>
        <v>0</v>
      </c>
      <c r="BB195" s="67"/>
      <c r="BC195" s="67"/>
      <c r="BD195" s="67"/>
    </row>
    <row r="196" spans="1:56" s="340" customFormat="1" x14ac:dyDescent="0.2">
      <c r="A196" s="513"/>
      <c r="B196" s="517"/>
      <c r="C196" s="516"/>
      <c r="D196" s="273"/>
      <c r="E196" s="94"/>
      <c r="F196" s="97" t="s">
        <v>571</v>
      </c>
      <c r="G196" s="55"/>
      <c r="H196" s="131">
        <v>3</v>
      </c>
      <c r="I196" s="97"/>
      <c r="J196" s="515">
        <v>1587542.2318787184</v>
      </c>
      <c r="K196" s="267"/>
      <c r="L196" s="130">
        <f t="shared" si="204"/>
        <v>733762.01957434369</v>
      </c>
      <c r="M196" s="94"/>
      <c r="N196" s="130">
        <f t="shared" si="205"/>
        <v>472293.81398391869</v>
      </c>
      <c r="O196" s="94"/>
      <c r="P196" s="130">
        <f t="shared" si="206"/>
        <v>69534.349756287862</v>
      </c>
      <c r="Q196" s="94"/>
      <c r="R196" s="130">
        <f t="shared" si="207"/>
        <v>134623.58126331531</v>
      </c>
      <c r="S196" s="94"/>
      <c r="T196" s="130">
        <f t="shared" si="208"/>
        <v>48102.52962592517</v>
      </c>
      <c r="U196" s="94"/>
      <c r="V196" s="130">
        <f t="shared" si="209"/>
        <v>62390.409712833622</v>
      </c>
      <c r="W196" s="94"/>
      <c r="X196" s="130">
        <f t="shared" si="210"/>
        <v>66835.527962094042</v>
      </c>
      <c r="Y196" s="94"/>
      <c r="Z196" s="94">
        <f t="shared" si="147"/>
        <v>0</v>
      </c>
      <c r="AC196" s="97" t="s">
        <v>571</v>
      </c>
      <c r="AE196" s="112">
        <f t="shared" si="221"/>
        <v>3</v>
      </c>
      <c r="AG196" s="550">
        <f t="shared" si="193"/>
        <v>1587542.2318787184</v>
      </c>
      <c r="AH196" s="267"/>
      <c r="AI196" s="130">
        <f t="shared" si="211"/>
        <v>836317.24775370886</v>
      </c>
      <c r="AJ196" s="94"/>
      <c r="AK196" s="130">
        <f t="shared" si="212"/>
        <v>627237.93581528158</v>
      </c>
      <c r="AL196" s="94"/>
      <c r="AM196" s="130">
        <f t="shared" si="213"/>
        <v>0</v>
      </c>
      <c r="AN196" s="94"/>
      <c r="AO196" s="130">
        <f t="shared" si="214"/>
        <v>0</v>
      </c>
      <c r="AP196" s="94"/>
      <c r="AQ196" s="130">
        <f t="shared" si="215"/>
        <v>0</v>
      </c>
      <c r="AR196" s="94"/>
      <c r="AS196" s="130">
        <f t="shared" si="216"/>
        <v>0</v>
      </c>
      <c r="AT196" s="94"/>
      <c r="AU196" s="130">
        <f t="shared" si="217"/>
        <v>0</v>
      </c>
      <c r="AV196" s="94"/>
      <c r="AW196" s="130">
        <f t="shared" si="218"/>
        <v>59850.342141827678</v>
      </c>
      <c r="AX196" s="94"/>
      <c r="AY196" s="130">
        <f t="shared" si="219"/>
        <v>64136.706167900222</v>
      </c>
      <c r="BA196" s="82">
        <f t="shared" si="203"/>
        <v>0</v>
      </c>
      <c r="BB196" s="67"/>
      <c r="BC196" s="67"/>
      <c r="BD196" s="67"/>
    </row>
    <row r="197" spans="1:56" s="340" customFormat="1" x14ac:dyDescent="0.2">
      <c r="A197" s="513"/>
      <c r="B197" s="513"/>
      <c r="C197" s="516"/>
      <c r="D197" s="273"/>
      <c r="E197" s="94"/>
      <c r="F197" s="97" t="s">
        <v>449</v>
      </c>
      <c r="G197" s="55"/>
      <c r="H197" s="131">
        <v>10</v>
      </c>
      <c r="I197" s="97"/>
      <c r="J197" s="515">
        <v>792949.41672232118</v>
      </c>
      <c r="K197" s="267"/>
      <c r="L197" s="130">
        <f t="shared" si="204"/>
        <v>653628.20420420938</v>
      </c>
      <c r="M197" s="94"/>
      <c r="N197" s="130">
        <f t="shared" si="205"/>
        <v>86986.551014438635</v>
      </c>
      <c r="O197" s="94"/>
      <c r="P197" s="130">
        <f t="shared" si="206"/>
        <v>872.24435839455339</v>
      </c>
      <c r="Q197" s="94"/>
      <c r="R197" s="130">
        <f t="shared" si="207"/>
        <v>11021.996892440264</v>
      </c>
      <c r="S197" s="94"/>
      <c r="T197" s="130">
        <f t="shared" si="208"/>
        <v>317.17976668892851</v>
      </c>
      <c r="U197" s="94"/>
      <c r="V197" s="130">
        <f t="shared" si="209"/>
        <v>40123.240486149451</v>
      </c>
      <c r="W197" s="94"/>
      <c r="X197" s="130">
        <f t="shared" si="210"/>
        <v>0</v>
      </c>
      <c r="Y197" s="94"/>
      <c r="Z197" s="94">
        <f t="shared" si="147"/>
        <v>0</v>
      </c>
      <c r="AC197" s="97" t="s">
        <v>449</v>
      </c>
      <c r="AE197" s="112">
        <f t="shared" si="221"/>
        <v>10</v>
      </c>
      <c r="AG197" s="550">
        <f t="shared" si="193"/>
        <v>792949.41672232118</v>
      </c>
      <c r="AH197" s="267"/>
      <c r="AI197" s="130">
        <f t="shared" si="211"/>
        <v>0</v>
      </c>
      <c r="AJ197" s="94"/>
      <c r="AK197" s="130">
        <f t="shared" si="212"/>
        <v>0</v>
      </c>
      <c r="AL197" s="94"/>
      <c r="AM197" s="130">
        <f t="shared" si="213"/>
        <v>0</v>
      </c>
      <c r="AN197" s="94"/>
      <c r="AO197" s="130">
        <f t="shared" si="214"/>
        <v>0</v>
      </c>
      <c r="AP197" s="94"/>
      <c r="AQ197" s="130">
        <f t="shared" si="215"/>
        <v>752826.17623617174</v>
      </c>
      <c r="AR197" s="94"/>
      <c r="AS197" s="130">
        <f t="shared" si="216"/>
        <v>0</v>
      </c>
      <c r="AT197" s="94"/>
      <c r="AU197" s="130">
        <f t="shared" si="217"/>
        <v>0</v>
      </c>
      <c r="AV197" s="94"/>
      <c r="AW197" s="130">
        <f t="shared" si="218"/>
        <v>40123.240486149451</v>
      </c>
      <c r="AX197" s="94"/>
      <c r="AY197" s="130">
        <f t="shared" si="219"/>
        <v>0</v>
      </c>
      <c r="BA197" s="82">
        <f t="shared" si="203"/>
        <v>0</v>
      </c>
      <c r="BB197" s="67"/>
      <c r="BC197" s="67"/>
      <c r="BD197" s="67"/>
    </row>
    <row r="198" spans="1:56" s="340" customFormat="1" x14ac:dyDescent="0.2">
      <c r="A198" s="513"/>
      <c r="B198" s="513"/>
      <c r="C198" s="516"/>
      <c r="D198" s="273"/>
      <c r="E198" s="94"/>
      <c r="F198" s="97" t="s">
        <v>450</v>
      </c>
      <c r="G198" s="55"/>
      <c r="H198" s="131">
        <v>9</v>
      </c>
      <c r="I198" s="97"/>
      <c r="J198" s="515">
        <v>961242.27948301728</v>
      </c>
      <c r="K198" s="267"/>
      <c r="L198" s="130">
        <f t="shared" si="204"/>
        <v>798023.34042680101</v>
      </c>
      <c r="M198" s="94"/>
      <c r="N198" s="130">
        <f t="shared" si="205"/>
        <v>122654.514862033</v>
      </c>
      <c r="O198" s="94"/>
      <c r="P198" s="130">
        <f t="shared" si="206"/>
        <v>3748.8448899837672</v>
      </c>
      <c r="Q198" s="94"/>
      <c r="R198" s="130">
        <f t="shared" si="207"/>
        <v>23069.814707592413</v>
      </c>
      <c r="S198" s="94"/>
      <c r="T198" s="130">
        <f t="shared" si="208"/>
        <v>1730.236103069431</v>
      </c>
      <c r="U198" s="94"/>
      <c r="V198" s="130">
        <f t="shared" si="209"/>
        <v>12015.528493537717</v>
      </c>
      <c r="W198" s="94"/>
      <c r="X198" s="130">
        <f t="shared" si="210"/>
        <v>0</v>
      </c>
      <c r="Y198" s="94"/>
      <c r="Z198" s="94">
        <f t="shared" si="147"/>
        <v>0</v>
      </c>
      <c r="AC198" s="97" t="s">
        <v>450</v>
      </c>
      <c r="AE198" s="112">
        <f t="shared" si="221"/>
        <v>9</v>
      </c>
      <c r="AG198" s="550">
        <f t="shared" si="193"/>
        <v>961242.27948301728</v>
      </c>
      <c r="AH198" s="267"/>
      <c r="AI198" s="130">
        <f t="shared" si="211"/>
        <v>0</v>
      </c>
      <c r="AJ198" s="94"/>
      <c r="AK198" s="130">
        <f t="shared" si="212"/>
        <v>0</v>
      </c>
      <c r="AL198" s="94"/>
      <c r="AM198" s="130">
        <f t="shared" si="213"/>
        <v>0</v>
      </c>
      <c r="AN198" s="94"/>
      <c r="AO198" s="130">
        <f t="shared" si="214"/>
        <v>949226.75098947959</v>
      </c>
      <c r="AP198" s="94"/>
      <c r="AQ198" s="130">
        <f t="shared" si="215"/>
        <v>0</v>
      </c>
      <c r="AR198" s="94"/>
      <c r="AS198" s="130">
        <f t="shared" si="216"/>
        <v>0</v>
      </c>
      <c r="AT198" s="94"/>
      <c r="AU198" s="130">
        <f t="shared" si="217"/>
        <v>0</v>
      </c>
      <c r="AV198" s="94"/>
      <c r="AW198" s="130">
        <f t="shared" si="218"/>
        <v>12015.528493537717</v>
      </c>
      <c r="AX198" s="94"/>
      <c r="AY198" s="130">
        <f t="shared" si="219"/>
        <v>0</v>
      </c>
      <c r="BA198" s="82">
        <f t="shared" si="203"/>
        <v>0</v>
      </c>
      <c r="BB198" s="67"/>
      <c r="BC198" s="67"/>
      <c r="BD198" s="67"/>
    </row>
    <row r="199" spans="1:56" s="340" customFormat="1" x14ac:dyDescent="0.2">
      <c r="A199" s="513"/>
      <c r="B199" s="513"/>
      <c r="C199" s="516"/>
      <c r="D199" s="273"/>
      <c r="E199" s="94"/>
      <c r="F199" s="97" t="s">
        <v>451</v>
      </c>
      <c r="G199" s="55"/>
      <c r="H199" s="131">
        <v>9</v>
      </c>
      <c r="I199" s="97"/>
      <c r="J199" s="515">
        <v>862784.11505524977</v>
      </c>
      <c r="K199" s="267"/>
      <c r="L199" s="130">
        <f t="shared" si="204"/>
        <v>716283.37231886841</v>
      </c>
      <c r="M199" s="94"/>
      <c r="N199" s="130">
        <f t="shared" si="205"/>
        <v>110091.25308104986</v>
      </c>
      <c r="O199" s="94"/>
      <c r="P199" s="130">
        <f t="shared" si="206"/>
        <v>3364.8580487154741</v>
      </c>
      <c r="Q199" s="94"/>
      <c r="R199" s="130">
        <f t="shared" si="207"/>
        <v>20706.818761325994</v>
      </c>
      <c r="S199" s="94"/>
      <c r="T199" s="130">
        <f t="shared" si="208"/>
        <v>1553.0114070994496</v>
      </c>
      <c r="U199" s="94"/>
      <c r="V199" s="130">
        <f t="shared" si="209"/>
        <v>10784.801438190623</v>
      </c>
      <c r="W199" s="94"/>
      <c r="X199" s="130">
        <f t="shared" si="210"/>
        <v>0</v>
      </c>
      <c r="Y199" s="94"/>
      <c r="Z199" s="94">
        <f t="shared" si="147"/>
        <v>0</v>
      </c>
      <c r="AC199" s="97" t="s">
        <v>451</v>
      </c>
      <c r="AE199" s="112">
        <f t="shared" si="221"/>
        <v>9</v>
      </c>
      <c r="AG199" s="550">
        <f t="shared" si="193"/>
        <v>862784.11505524977</v>
      </c>
      <c r="AH199" s="267"/>
      <c r="AI199" s="130">
        <f t="shared" si="211"/>
        <v>0</v>
      </c>
      <c r="AJ199" s="94"/>
      <c r="AK199" s="130">
        <f t="shared" si="212"/>
        <v>0</v>
      </c>
      <c r="AL199" s="94"/>
      <c r="AM199" s="130">
        <f t="shared" si="213"/>
        <v>0</v>
      </c>
      <c r="AN199" s="94"/>
      <c r="AO199" s="130">
        <f t="shared" si="214"/>
        <v>851999.31361705915</v>
      </c>
      <c r="AP199" s="94"/>
      <c r="AQ199" s="130">
        <f t="shared" si="215"/>
        <v>0</v>
      </c>
      <c r="AR199" s="94"/>
      <c r="AS199" s="130">
        <f t="shared" si="216"/>
        <v>0</v>
      </c>
      <c r="AT199" s="94"/>
      <c r="AU199" s="130">
        <f t="shared" si="217"/>
        <v>0</v>
      </c>
      <c r="AV199" s="94"/>
      <c r="AW199" s="130">
        <f t="shared" si="218"/>
        <v>10784.801438190623</v>
      </c>
      <c r="AX199" s="94"/>
      <c r="AY199" s="130">
        <f t="shared" si="219"/>
        <v>0</v>
      </c>
      <c r="BA199" s="82">
        <f t="shared" si="203"/>
        <v>0</v>
      </c>
      <c r="BB199" s="67"/>
      <c r="BC199" s="67"/>
      <c r="BD199" s="67"/>
    </row>
    <row r="200" spans="1:56" s="340" customFormat="1" x14ac:dyDescent="0.2">
      <c r="A200" s="513"/>
      <c r="B200" s="513"/>
      <c r="C200" s="516"/>
      <c r="D200" s="273"/>
      <c r="E200" s="94"/>
      <c r="F200" s="97" t="s">
        <v>452</v>
      </c>
      <c r="G200" s="55"/>
      <c r="H200" s="131">
        <v>8</v>
      </c>
      <c r="I200" s="97"/>
      <c r="J200" s="515">
        <v>455145.90249431471</v>
      </c>
      <c r="K200" s="267"/>
      <c r="L200" s="130">
        <f t="shared" si="204"/>
        <v>0</v>
      </c>
      <c r="M200" s="94"/>
      <c r="N200" s="130">
        <f t="shared" si="205"/>
        <v>0</v>
      </c>
      <c r="O200" s="94"/>
      <c r="P200" s="130">
        <f t="shared" si="206"/>
        <v>0</v>
      </c>
      <c r="Q200" s="94"/>
      <c r="R200" s="130">
        <f t="shared" si="207"/>
        <v>0</v>
      </c>
      <c r="S200" s="94"/>
      <c r="T200" s="130">
        <f t="shared" si="208"/>
        <v>0</v>
      </c>
      <c r="U200" s="94"/>
      <c r="V200" s="130">
        <f t="shared" si="209"/>
        <v>0</v>
      </c>
      <c r="W200" s="94"/>
      <c r="X200" s="130">
        <f t="shared" si="210"/>
        <v>455145.90249431471</v>
      </c>
      <c r="Y200" s="94"/>
      <c r="Z200" s="94">
        <f t="shared" si="147"/>
        <v>0</v>
      </c>
      <c r="AC200" s="97" t="s">
        <v>452</v>
      </c>
      <c r="AE200" s="112">
        <f t="shared" si="221"/>
        <v>8</v>
      </c>
      <c r="AG200" s="550">
        <f t="shared" si="193"/>
        <v>455145.90249431471</v>
      </c>
      <c r="AH200" s="267"/>
      <c r="AI200" s="130">
        <f t="shared" si="211"/>
        <v>0</v>
      </c>
      <c r="AJ200" s="94"/>
      <c r="AK200" s="130">
        <f t="shared" si="212"/>
        <v>0</v>
      </c>
      <c r="AL200" s="94"/>
      <c r="AM200" s="130">
        <f t="shared" si="213"/>
        <v>0</v>
      </c>
      <c r="AN200" s="94"/>
      <c r="AO200" s="130">
        <f t="shared" si="214"/>
        <v>0</v>
      </c>
      <c r="AP200" s="94"/>
      <c r="AQ200" s="130">
        <f t="shared" si="215"/>
        <v>0</v>
      </c>
      <c r="AR200" s="94"/>
      <c r="AS200" s="130">
        <f t="shared" si="216"/>
        <v>0</v>
      </c>
      <c r="AT200" s="94"/>
      <c r="AU200" s="130">
        <f t="shared" si="217"/>
        <v>0</v>
      </c>
      <c r="AV200" s="94"/>
      <c r="AW200" s="130">
        <f t="shared" si="218"/>
        <v>0</v>
      </c>
      <c r="AX200" s="94"/>
      <c r="AY200" s="130">
        <f t="shared" si="219"/>
        <v>455145.90249431471</v>
      </c>
      <c r="BA200" s="82">
        <f t="shared" ref="BA200:BA227" si="222">SUM(AI200:AY200)-AG200</f>
        <v>0</v>
      </c>
      <c r="BB200" s="67"/>
      <c r="BC200" s="67"/>
      <c r="BD200" s="67"/>
    </row>
    <row r="201" spans="1:56" s="340" customFormat="1" x14ac:dyDescent="0.2">
      <c r="A201" s="513"/>
      <c r="B201" s="513"/>
      <c r="C201" s="516"/>
      <c r="D201" s="273"/>
      <c r="E201" s="94"/>
      <c r="F201" s="97" t="s">
        <v>453</v>
      </c>
      <c r="G201" s="55"/>
      <c r="H201" s="131">
        <v>15</v>
      </c>
      <c r="I201" s="97"/>
      <c r="J201" s="515">
        <v>282163.37670617423</v>
      </c>
      <c r="K201" s="267"/>
      <c r="L201" s="130">
        <f t="shared" si="204"/>
        <v>181628.56558576436</v>
      </c>
      <c r="M201" s="94"/>
      <c r="N201" s="130">
        <f t="shared" si="205"/>
        <v>59818.635861708935</v>
      </c>
      <c r="O201" s="94"/>
      <c r="P201" s="130">
        <f t="shared" si="206"/>
        <v>6687.2720279363284</v>
      </c>
      <c r="Q201" s="94"/>
      <c r="R201" s="130">
        <f t="shared" si="207"/>
        <v>14446.764887356121</v>
      </c>
      <c r="S201" s="94"/>
      <c r="T201" s="130">
        <f t="shared" si="208"/>
        <v>4458.1813519575535</v>
      </c>
      <c r="U201" s="94"/>
      <c r="V201" s="130">
        <f t="shared" si="209"/>
        <v>7928.7908854434954</v>
      </c>
      <c r="W201" s="94"/>
      <c r="X201" s="130">
        <f t="shared" si="210"/>
        <v>7195.1661060074421</v>
      </c>
      <c r="Y201" s="94"/>
      <c r="Z201" s="94">
        <f t="shared" si="147"/>
        <v>0</v>
      </c>
      <c r="AC201" s="97" t="s">
        <v>453</v>
      </c>
      <c r="AE201" s="112">
        <f t="shared" si="221"/>
        <v>15</v>
      </c>
      <c r="AG201" s="550">
        <f t="shared" si="193"/>
        <v>282163.37670617423</v>
      </c>
      <c r="AH201" s="267"/>
      <c r="AI201" s="130">
        <f t="shared" si="211"/>
        <v>75619.784957254698</v>
      </c>
      <c r="AJ201" s="94"/>
      <c r="AK201" s="130">
        <f t="shared" si="212"/>
        <v>45146.140272987876</v>
      </c>
      <c r="AL201" s="94"/>
      <c r="AM201" s="130">
        <f t="shared" si="213"/>
        <v>23842.805331671723</v>
      </c>
      <c r="AN201" s="94"/>
      <c r="AO201" s="130">
        <f t="shared" si="214"/>
        <v>48362.802767438261</v>
      </c>
      <c r="AP201" s="94"/>
      <c r="AQ201" s="130">
        <f t="shared" si="215"/>
        <v>9170.3097429506633</v>
      </c>
      <c r="AR201" s="94"/>
      <c r="AS201" s="130">
        <f t="shared" si="216"/>
        <v>45936.19772776516</v>
      </c>
      <c r="AT201" s="94"/>
      <c r="AU201" s="130">
        <f t="shared" si="217"/>
        <v>19582.138343408493</v>
      </c>
      <c r="AV201" s="94"/>
      <c r="AW201" s="130">
        <f t="shared" si="218"/>
        <v>7308.0314566899124</v>
      </c>
      <c r="AX201" s="94"/>
      <c r="AY201" s="130">
        <f t="shared" si="219"/>
        <v>7195.1661060074421</v>
      </c>
      <c r="BA201" s="82">
        <f t="shared" si="222"/>
        <v>0</v>
      </c>
      <c r="BB201" s="67"/>
      <c r="BC201" s="67"/>
      <c r="BD201" s="67"/>
    </row>
    <row r="202" spans="1:56" s="340" customFormat="1" ht="12.2" customHeight="1" x14ac:dyDescent="0.2">
      <c r="A202" s="513"/>
      <c r="B202" s="513"/>
      <c r="C202" s="516"/>
      <c r="D202" s="273"/>
      <c r="E202" s="94"/>
      <c r="F202" s="97" t="s">
        <v>573</v>
      </c>
      <c r="G202" s="55"/>
      <c r="H202" s="131">
        <v>15</v>
      </c>
      <c r="I202" s="97"/>
      <c r="J202" s="515">
        <v>177132.13514315276</v>
      </c>
      <c r="K202" s="267"/>
      <c r="L202" s="130">
        <f t="shared" si="204"/>
        <v>114019.95539164744</v>
      </c>
      <c r="M202" s="94"/>
      <c r="N202" s="130">
        <f t="shared" si="205"/>
        <v>37552.012650348384</v>
      </c>
      <c r="O202" s="94"/>
      <c r="P202" s="130">
        <f t="shared" si="206"/>
        <v>4198.03160289272</v>
      </c>
      <c r="Q202" s="94"/>
      <c r="R202" s="130">
        <f t="shared" si="207"/>
        <v>9069.1653193294223</v>
      </c>
      <c r="S202" s="94"/>
      <c r="T202" s="130">
        <f t="shared" si="208"/>
        <v>2798.6877352618139</v>
      </c>
      <c r="U202" s="94"/>
      <c r="V202" s="130">
        <f t="shared" si="209"/>
        <v>4977.4129975225924</v>
      </c>
      <c r="W202" s="94"/>
      <c r="X202" s="130">
        <f t="shared" si="210"/>
        <v>4516.8694461503947</v>
      </c>
      <c r="Y202" s="94"/>
      <c r="Z202" s="94">
        <f t="shared" si="147"/>
        <v>0</v>
      </c>
      <c r="AC202" s="97" t="s">
        <v>454</v>
      </c>
      <c r="AE202" s="112">
        <f t="shared" si="221"/>
        <v>15</v>
      </c>
      <c r="AG202" s="550">
        <f t="shared" si="193"/>
        <v>177132.13514315276</v>
      </c>
      <c r="AH202" s="267"/>
      <c r="AI202" s="130">
        <f t="shared" si="211"/>
        <v>47471.412218364945</v>
      </c>
      <c r="AJ202" s="94"/>
      <c r="AK202" s="130">
        <f t="shared" si="212"/>
        <v>28341.141622904441</v>
      </c>
      <c r="AL202" s="94"/>
      <c r="AM202" s="130">
        <f t="shared" si="213"/>
        <v>14967.665419596409</v>
      </c>
      <c r="AN202" s="94"/>
      <c r="AO202" s="130">
        <f t="shared" si="214"/>
        <v>30360.447963536382</v>
      </c>
      <c r="AP202" s="94"/>
      <c r="AQ202" s="130">
        <f t="shared" si="215"/>
        <v>5756.7943921524648</v>
      </c>
      <c r="AR202" s="94"/>
      <c r="AS202" s="130">
        <f t="shared" si="216"/>
        <v>28837.111601305271</v>
      </c>
      <c r="AT202" s="94"/>
      <c r="AU202" s="130">
        <f t="shared" si="217"/>
        <v>12292.970178934802</v>
      </c>
      <c r="AV202" s="94"/>
      <c r="AW202" s="130">
        <f t="shared" si="218"/>
        <v>4587.7223002076562</v>
      </c>
      <c r="AX202" s="94"/>
      <c r="AY202" s="130">
        <f t="shared" si="219"/>
        <v>4516.8694461503947</v>
      </c>
      <c r="BA202" s="82">
        <f t="shared" si="222"/>
        <v>0</v>
      </c>
      <c r="BB202" s="67"/>
      <c r="BC202" s="67"/>
      <c r="BD202" s="67"/>
    </row>
    <row r="203" spans="1:56" s="340" customFormat="1" x14ac:dyDescent="0.2">
      <c r="A203" s="513"/>
      <c r="B203" s="513"/>
      <c r="C203" s="516"/>
      <c r="D203" s="273"/>
      <c r="E203" s="94"/>
      <c r="F203" s="97" t="s">
        <v>455</v>
      </c>
      <c r="G203" s="55"/>
      <c r="H203" s="131">
        <v>15</v>
      </c>
      <c r="I203" s="97"/>
      <c r="J203" s="515">
        <v>35140.795407266385</v>
      </c>
      <c r="K203" s="267"/>
      <c r="L203" s="130">
        <f t="shared" si="204"/>
        <v>22620.130003657374</v>
      </c>
      <c r="M203" s="94"/>
      <c r="N203" s="130">
        <f t="shared" si="205"/>
        <v>7449.8486263404739</v>
      </c>
      <c r="O203" s="94"/>
      <c r="P203" s="130">
        <f t="shared" si="206"/>
        <v>832.83685115221328</v>
      </c>
      <c r="Q203" s="94"/>
      <c r="R203" s="130">
        <f t="shared" si="207"/>
        <v>1799.208724852039</v>
      </c>
      <c r="S203" s="94"/>
      <c r="T203" s="130">
        <f t="shared" si="208"/>
        <v>555.22456743480893</v>
      </c>
      <c r="U203" s="94"/>
      <c r="V203" s="130">
        <f t="shared" si="209"/>
        <v>987.45635094418537</v>
      </c>
      <c r="W203" s="94"/>
      <c r="X203" s="130">
        <f t="shared" si="210"/>
        <v>896.09028288529271</v>
      </c>
      <c r="Y203" s="94"/>
      <c r="Z203" s="94">
        <f t="shared" si="147"/>
        <v>0</v>
      </c>
      <c r="AC203" s="97" t="s">
        <v>455</v>
      </c>
      <c r="AE203" s="112">
        <f t="shared" si="221"/>
        <v>15</v>
      </c>
      <c r="AG203" s="550">
        <f t="shared" si="193"/>
        <v>35140.795407266385</v>
      </c>
      <c r="AH203" s="267"/>
      <c r="AI203" s="130">
        <f t="shared" si="211"/>
        <v>9417.7331691473919</v>
      </c>
      <c r="AJ203" s="94"/>
      <c r="AK203" s="130">
        <f t="shared" si="212"/>
        <v>5622.5272651626219</v>
      </c>
      <c r="AL203" s="94"/>
      <c r="AM203" s="130">
        <f t="shared" si="213"/>
        <v>2969.3972119140099</v>
      </c>
      <c r="AN203" s="94"/>
      <c r="AO203" s="130">
        <f t="shared" si="214"/>
        <v>6023.1323328054586</v>
      </c>
      <c r="AP203" s="94"/>
      <c r="AQ203" s="130">
        <f t="shared" si="215"/>
        <v>1142.0758507361575</v>
      </c>
      <c r="AR203" s="94"/>
      <c r="AS203" s="130">
        <f t="shared" si="216"/>
        <v>5720.9214923029676</v>
      </c>
      <c r="AT203" s="94"/>
      <c r="AU203" s="130">
        <f t="shared" si="217"/>
        <v>2438.7712012642874</v>
      </c>
      <c r="AV203" s="94"/>
      <c r="AW203" s="130">
        <f t="shared" si="218"/>
        <v>910.14660104819939</v>
      </c>
      <c r="AX203" s="94"/>
      <c r="AY203" s="130">
        <f t="shared" si="219"/>
        <v>896.09028288529271</v>
      </c>
      <c r="BA203" s="82">
        <f t="shared" si="222"/>
        <v>0</v>
      </c>
      <c r="BB203" s="67"/>
      <c r="BC203" s="67"/>
      <c r="BD203" s="67"/>
    </row>
    <row r="204" spans="1:56" s="340" customFormat="1" x14ac:dyDescent="0.2">
      <c r="A204" s="513"/>
      <c r="B204" s="513"/>
      <c r="C204" s="516"/>
      <c r="D204" s="273"/>
      <c r="E204" s="94"/>
      <c r="F204" s="97" t="s">
        <v>456</v>
      </c>
      <c r="G204" s="55"/>
      <c r="H204" s="131">
        <v>15</v>
      </c>
      <c r="I204" s="97"/>
      <c r="J204" s="515">
        <v>84953.095247499994</v>
      </c>
      <c r="K204" s="267"/>
      <c r="L204" s="130">
        <f t="shared" si="204"/>
        <v>54684.307410815753</v>
      </c>
      <c r="M204" s="94"/>
      <c r="N204" s="130">
        <f t="shared" si="205"/>
        <v>18010.056192469998</v>
      </c>
      <c r="O204" s="94"/>
      <c r="P204" s="130">
        <f t="shared" si="206"/>
        <v>2013.3883573657497</v>
      </c>
      <c r="Q204" s="94"/>
      <c r="R204" s="130">
        <f t="shared" si="207"/>
        <v>4349.5984766720003</v>
      </c>
      <c r="S204" s="94"/>
      <c r="T204" s="130">
        <f t="shared" si="208"/>
        <v>1342.2589049105</v>
      </c>
      <c r="U204" s="94"/>
      <c r="V204" s="130">
        <f t="shared" si="209"/>
        <v>2387.1819764547499</v>
      </c>
      <c r="W204" s="94"/>
      <c r="X204" s="130">
        <f t="shared" si="210"/>
        <v>2166.3039288112495</v>
      </c>
      <c r="Y204" s="94"/>
      <c r="Z204" s="94">
        <f t="shared" si="147"/>
        <v>0</v>
      </c>
      <c r="AC204" s="97" t="s">
        <v>456</v>
      </c>
      <c r="AE204" s="112">
        <f t="shared" si="221"/>
        <v>15</v>
      </c>
      <c r="AG204" s="550">
        <f t="shared" si="193"/>
        <v>84953.095247499994</v>
      </c>
      <c r="AH204" s="267"/>
      <c r="AI204" s="130">
        <f t="shared" si="211"/>
        <v>22767.429526330001</v>
      </c>
      <c r="AJ204" s="94"/>
      <c r="AK204" s="130">
        <f t="shared" si="212"/>
        <v>13592.495239599999</v>
      </c>
      <c r="AL204" s="94"/>
      <c r="AM204" s="130">
        <f t="shared" si="213"/>
        <v>7178.5365484137501</v>
      </c>
      <c r="AN204" s="94"/>
      <c r="AO204" s="130">
        <f t="shared" si="214"/>
        <v>14560.960525421498</v>
      </c>
      <c r="AP204" s="94"/>
      <c r="AQ204" s="130">
        <f t="shared" si="215"/>
        <v>2760.9755955437499</v>
      </c>
      <c r="AR204" s="94"/>
      <c r="AS204" s="130">
        <f t="shared" si="216"/>
        <v>13830.363906293</v>
      </c>
      <c r="AT204" s="94"/>
      <c r="AU204" s="130">
        <f t="shared" si="217"/>
        <v>5895.7448101765003</v>
      </c>
      <c r="AV204" s="94"/>
      <c r="AW204" s="130">
        <f t="shared" si="218"/>
        <v>2200.2851669102497</v>
      </c>
      <c r="AX204" s="94"/>
      <c r="AY204" s="130">
        <f t="shared" si="219"/>
        <v>2166.3039288112495</v>
      </c>
      <c r="BA204" s="82">
        <f t="shared" si="222"/>
        <v>0</v>
      </c>
      <c r="BB204" s="67"/>
      <c r="BC204" s="67"/>
      <c r="BD204" s="67"/>
    </row>
    <row r="205" spans="1:56" s="340" customFormat="1" x14ac:dyDescent="0.2">
      <c r="A205" s="513"/>
      <c r="B205" s="513"/>
      <c r="C205" s="516"/>
      <c r="D205" s="273"/>
      <c r="E205" s="94"/>
      <c r="F205" s="97" t="s">
        <v>457</v>
      </c>
      <c r="G205" s="55"/>
      <c r="H205" s="131">
        <v>15</v>
      </c>
      <c r="I205" s="97"/>
      <c r="J205" s="515">
        <v>129150.20476388901</v>
      </c>
      <c r="K205" s="267"/>
      <c r="L205" s="130">
        <f t="shared" si="204"/>
        <v>83133.986806515357</v>
      </c>
      <c r="M205" s="94"/>
      <c r="N205" s="130">
        <f t="shared" si="205"/>
        <v>27379.843409944468</v>
      </c>
      <c r="O205" s="94"/>
      <c r="P205" s="130">
        <f t="shared" si="206"/>
        <v>3060.8598529041692</v>
      </c>
      <c r="Q205" s="94"/>
      <c r="R205" s="130">
        <f t="shared" si="207"/>
        <v>6612.4904839111177</v>
      </c>
      <c r="S205" s="94"/>
      <c r="T205" s="130">
        <f t="shared" si="208"/>
        <v>2040.5732352694465</v>
      </c>
      <c r="U205" s="94"/>
      <c r="V205" s="130">
        <f t="shared" si="209"/>
        <v>3629.1207538652811</v>
      </c>
      <c r="W205" s="94"/>
      <c r="X205" s="130">
        <f t="shared" si="210"/>
        <v>3293.3302214791693</v>
      </c>
      <c r="Y205" s="94"/>
      <c r="Z205" s="94">
        <f t="shared" si="147"/>
        <v>0</v>
      </c>
      <c r="AC205" s="97" t="s">
        <v>457</v>
      </c>
      <c r="AE205" s="112">
        <f t="shared" si="221"/>
        <v>15</v>
      </c>
      <c r="AG205" s="550">
        <f t="shared" si="193"/>
        <v>129150.20476388901</v>
      </c>
      <c r="AH205" s="267"/>
      <c r="AI205" s="130">
        <f t="shared" si="211"/>
        <v>34612.254876722254</v>
      </c>
      <c r="AJ205" s="94"/>
      <c r="AK205" s="130">
        <f t="shared" si="212"/>
        <v>20664.032762222243</v>
      </c>
      <c r="AL205" s="94"/>
      <c r="AM205" s="130">
        <f t="shared" si="213"/>
        <v>10913.192302548621</v>
      </c>
      <c r="AN205" s="94"/>
      <c r="AO205" s="130">
        <f t="shared" si="214"/>
        <v>22136.345096530575</v>
      </c>
      <c r="AP205" s="94"/>
      <c r="AQ205" s="130">
        <f t="shared" si="215"/>
        <v>4197.3816548263931</v>
      </c>
      <c r="AR205" s="94"/>
      <c r="AS205" s="130">
        <f t="shared" si="216"/>
        <v>21025.653335561132</v>
      </c>
      <c r="AT205" s="94"/>
      <c r="AU205" s="130">
        <f t="shared" si="217"/>
        <v>8963.0242106138976</v>
      </c>
      <c r="AV205" s="94"/>
      <c r="AW205" s="130">
        <f t="shared" si="218"/>
        <v>3344.9903033847254</v>
      </c>
      <c r="AX205" s="94"/>
      <c r="AY205" s="130">
        <f t="shared" si="219"/>
        <v>3293.3302214791693</v>
      </c>
      <c r="BA205" s="82">
        <f t="shared" si="222"/>
        <v>0</v>
      </c>
      <c r="BB205" s="67"/>
      <c r="BC205" s="67"/>
      <c r="BD205" s="67"/>
    </row>
    <row r="206" spans="1:56" s="68" customFormat="1" x14ac:dyDescent="0.2">
      <c r="A206" s="513"/>
      <c r="B206" s="513"/>
      <c r="C206" s="516"/>
      <c r="D206" s="273"/>
      <c r="E206" s="94"/>
      <c r="F206" s="97" t="s">
        <v>458</v>
      </c>
      <c r="G206" s="55"/>
      <c r="H206" s="131">
        <v>15</v>
      </c>
      <c r="I206" s="97"/>
      <c r="J206" s="515">
        <v>63518.874181111118</v>
      </c>
      <c r="K206" s="267"/>
      <c r="L206" s="130">
        <f t="shared" si="204"/>
        <v>40887.099310381229</v>
      </c>
      <c r="M206" s="94"/>
      <c r="N206" s="130">
        <f t="shared" si="205"/>
        <v>13466.001326395557</v>
      </c>
      <c r="O206" s="94"/>
      <c r="P206" s="130">
        <f t="shared" si="206"/>
        <v>1505.3973180923333</v>
      </c>
      <c r="Q206" s="94"/>
      <c r="R206" s="130">
        <f t="shared" si="207"/>
        <v>3252.1663580728896</v>
      </c>
      <c r="S206" s="94"/>
      <c r="T206" s="130">
        <f t="shared" si="208"/>
        <v>1003.5982120615557</v>
      </c>
      <c r="U206" s="94"/>
      <c r="V206" s="130">
        <f t="shared" si="209"/>
        <v>1784.8803644892223</v>
      </c>
      <c r="W206" s="94"/>
      <c r="X206" s="130">
        <f t="shared" si="210"/>
        <v>1619.7312916183334</v>
      </c>
      <c r="Y206" s="94"/>
      <c r="Z206" s="94">
        <f t="shared" si="147"/>
        <v>0</v>
      </c>
      <c r="AC206" s="97" t="s">
        <v>458</v>
      </c>
      <c r="AE206" s="112">
        <f t="shared" si="221"/>
        <v>15</v>
      </c>
      <c r="AF206" s="340"/>
      <c r="AG206" s="550">
        <f t="shared" si="193"/>
        <v>63518.874181111118</v>
      </c>
      <c r="AH206" s="267"/>
      <c r="AI206" s="130">
        <f t="shared" si="211"/>
        <v>17023.058280537782</v>
      </c>
      <c r="AJ206" s="94"/>
      <c r="AK206" s="130">
        <f t="shared" si="212"/>
        <v>10163.019868977779</v>
      </c>
      <c r="AL206" s="94"/>
      <c r="AM206" s="130">
        <f t="shared" si="213"/>
        <v>5367.3448683038896</v>
      </c>
      <c r="AN206" s="94"/>
      <c r="AO206" s="130">
        <f t="shared" si="214"/>
        <v>10887.135034642446</v>
      </c>
      <c r="AP206" s="94"/>
      <c r="AQ206" s="130">
        <f t="shared" si="215"/>
        <v>2064.3634108861115</v>
      </c>
      <c r="AR206" s="94"/>
      <c r="AS206" s="130">
        <f t="shared" si="216"/>
        <v>10340.872716684889</v>
      </c>
      <c r="AT206" s="94"/>
      <c r="AU206" s="130">
        <f t="shared" si="217"/>
        <v>4408.2098681691114</v>
      </c>
      <c r="AV206" s="94"/>
      <c r="AW206" s="130">
        <f t="shared" si="218"/>
        <v>1645.1388412907779</v>
      </c>
      <c r="AX206" s="94"/>
      <c r="AY206" s="130">
        <f t="shared" si="219"/>
        <v>1619.7312916183334</v>
      </c>
      <c r="AZ206" s="340"/>
      <c r="BA206" s="82">
        <f t="shared" si="222"/>
        <v>0</v>
      </c>
      <c r="BB206" s="67"/>
      <c r="BC206" s="67"/>
      <c r="BD206" s="67"/>
    </row>
    <row r="207" spans="1:56" s="68" customFormat="1" x14ac:dyDescent="0.2">
      <c r="A207" s="513"/>
      <c r="B207" s="513"/>
      <c r="C207" s="516"/>
      <c r="D207" s="273"/>
      <c r="E207" s="94"/>
      <c r="F207" s="97" t="s">
        <v>459</v>
      </c>
      <c r="G207" s="55"/>
      <c r="H207" s="131">
        <v>15</v>
      </c>
      <c r="I207" s="97"/>
      <c r="J207" s="515">
        <v>65504.647805555403</v>
      </c>
      <c r="K207" s="267"/>
      <c r="L207" s="130">
        <f t="shared" si="204"/>
        <v>42165.341792436018</v>
      </c>
      <c r="M207" s="94"/>
      <c r="N207" s="130">
        <f t="shared" si="205"/>
        <v>13886.985334777744</v>
      </c>
      <c r="O207" s="94"/>
      <c r="P207" s="130">
        <f t="shared" si="206"/>
        <v>1552.4601529916629</v>
      </c>
      <c r="Q207" s="94"/>
      <c r="R207" s="130">
        <f t="shared" si="207"/>
        <v>3353.837967644437</v>
      </c>
      <c r="S207" s="94"/>
      <c r="T207" s="130">
        <f t="shared" si="208"/>
        <v>1034.9734353277754</v>
      </c>
      <c r="U207" s="94"/>
      <c r="V207" s="130">
        <f t="shared" si="209"/>
        <v>1840.6806033361067</v>
      </c>
      <c r="W207" s="94"/>
      <c r="X207" s="130">
        <f t="shared" si="210"/>
        <v>1670.3685190416627</v>
      </c>
      <c r="Y207" s="94"/>
      <c r="Z207" s="94">
        <f t="shared" ref="Z207:Z273" si="223">SUM(L207:X207)-J207</f>
        <v>0</v>
      </c>
      <c r="AC207" s="97" t="s">
        <v>459</v>
      </c>
      <c r="AE207" s="112">
        <f t="shared" si="221"/>
        <v>15</v>
      </c>
      <c r="AF207" s="340"/>
      <c r="AG207" s="550">
        <f t="shared" si="193"/>
        <v>65504.647805555403</v>
      </c>
      <c r="AH207" s="267"/>
      <c r="AI207" s="130">
        <f t="shared" si="211"/>
        <v>17555.245611888848</v>
      </c>
      <c r="AJ207" s="94"/>
      <c r="AK207" s="130">
        <f t="shared" si="212"/>
        <v>10480.743648888865</v>
      </c>
      <c r="AL207" s="94"/>
      <c r="AM207" s="130">
        <f t="shared" si="213"/>
        <v>5535.1427395694318</v>
      </c>
      <c r="AN207" s="94"/>
      <c r="AO207" s="130">
        <f t="shared" si="214"/>
        <v>11227.496633872195</v>
      </c>
      <c r="AP207" s="94"/>
      <c r="AQ207" s="130">
        <f t="shared" si="215"/>
        <v>2128.9010536805508</v>
      </c>
      <c r="AR207" s="94"/>
      <c r="AS207" s="130">
        <f t="shared" si="216"/>
        <v>10664.156662744419</v>
      </c>
      <c r="AT207" s="94"/>
      <c r="AU207" s="130">
        <f t="shared" si="217"/>
        <v>4546.0225577055453</v>
      </c>
      <c r="AV207" s="94"/>
      <c r="AW207" s="130">
        <f t="shared" si="218"/>
        <v>1696.5703781638849</v>
      </c>
      <c r="AX207" s="94"/>
      <c r="AY207" s="130">
        <f t="shared" si="219"/>
        <v>1670.3685190416627</v>
      </c>
      <c r="AZ207" s="340"/>
      <c r="BA207" s="82">
        <f t="shared" si="222"/>
        <v>0</v>
      </c>
      <c r="BB207" s="67"/>
      <c r="BC207" s="67"/>
      <c r="BD207" s="67"/>
    </row>
    <row r="208" spans="1:56" s="68" customFormat="1" x14ac:dyDescent="0.2">
      <c r="A208" s="513"/>
      <c r="B208" s="513"/>
      <c r="C208" s="516"/>
      <c r="D208" s="273"/>
      <c r="E208" s="94"/>
      <c r="F208" s="97" t="s">
        <v>460</v>
      </c>
      <c r="G208" s="55"/>
      <c r="H208" s="131">
        <v>15</v>
      </c>
      <c r="I208" s="97"/>
      <c r="J208" s="515">
        <v>297684.4536111108</v>
      </c>
      <c r="K208" s="267"/>
      <c r="L208" s="130">
        <f t="shared" si="204"/>
        <v>191619.48278947204</v>
      </c>
      <c r="M208" s="94"/>
      <c r="N208" s="130">
        <f t="shared" si="205"/>
        <v>63109.104165555487</v>
      </c>
      <c r="O208" s="94"/>
      <c r="P208" s="130">
        <f t="shared" si="206"/>
        <v>7055.1215505833261</v>
      </c>
      <c r="Q208" s="94"/>
      <c r="R208" s="130">
        <f t="shared" si="207"/>
        <v>15241.444024888873</v>
      </c>
      <c r="S208" s="94"/>
      <c r="T208" s="130">
        <f t="shared" si="208"/>
        <v>4703.4143670555513</v>
      </c>
      <c r="U208" s="94"/>
      <c r="V208" s="130">
        <f t="shared" si="209"/>
        <v>8364.9331464722127</v>
      </c>
      <c r="W208" s="94"/>
      <c r="X208" s="130">
        <f t="shared" si="210"/>
        <v>7590.9535670833247</v>
      </c>
      <c r="Y208" s="94"/>
      <c r="Z208" s="94">
        <f t="shared" si="223"/>
        <v>0</v>
      </c>
      <c r="AC208" s="97" t="s">
        <v>460</v>
      </c>
      <c r="AE208" s="112">
        <f t="shared" si="221"/>
        <v>15</v>
      </c>
      <c r="AF208" s="340"/>
      <c r="AG208" s="550">
        <f t="shared" si="193"/>
        <v>297684.4536111108</v>
      </c>
      <c r="AH208" s="267"/>
      <c r="AI208" s="130">
        <f t="shared" si="211"/>
        <v>79779.433567777698</v>
      </c>
      <c r="AJ208" s="94"/>
      <c r="AK208" s="130">
        <f t="shared" si="212"/>
        <v>47629.512577777728</v>
      </c>
      <c r="AL208" s="94"/>
      <c r="AM208" s="130">
        <f t="shared" si="213"/>
        <v>25154.336330138864</v>
      </c>
      <c r="AN208" s="94"/>
      <c r="AO208" s="130">
        <f t="shared" si="214"/>
        <v>51023.11534894439</v>
      </c>
      <c r="AP208" s="94"/>
      <c r="AQ208" s="130">
        <f t="shared" si="215"/>
        <v>9674.7447423611011</v>
      </c>
      <c r="AR208" s="94"/>
      <c r="AS208" s="130">
        <f t="shared" si="216"/>
        <v>48463.029047888842</v>
      </c>
      <c r="AT208" s="94"/>
      <c r="AU208" s="130">
        <f t="shared" si="217"/>
        <v>20659.301080611091</v>
      </c>
      <c r="AV208" s="94"/>
      <c r="AW208" s="130">
        <f t="shared" si="218"/>
        <v>7710.0273485277694</v>
      </c>
      <c r="AX208" s="94"/>
      <c r="AY208" s="130">
        <f t="shared" si="219"/>
        <v>7590.9535670833247</v>
      </c>
      <c r="AZ208" s="340"/>
      <c r="BA208" s="82">
        <f t="shared" si="222"/>
        <v>0</v>
      </c>
      <c r="BB208" s="67"/>
      <c r="BC208" s="67"/>
      <c r="BD208" s="67"/>
    </row>
    <row r="209" spans="1:56" s="340" customFormat="1" x14ac:dyDescent="0.2">
      <c r="A209" s="513"/>
      <c r="B209" s="513"/>
      <c r="C209" s="516"/>
      <c r="D209" s="273"/>
      <c r="E209" s="94"/>
      <c r="F209" s="97" t="s">
        <v>461</v>
      </c>
      <c r="G209" s="55"/>
      <c r="H209" s="131">
        <v>15</v>
      </c>
      <c r="I209" s="97"/>
      <c r="J209" s="515">
        <v>1190311.9632965045</v>
      </c>
      <c r="K209" s="267"/>
      <c r="L209" s="130">
        <f t="shared" si="204"/>
        <v>766203.81077395997</v>
      </c>
      <c r="M209" s="94"/>
      <c r="N209" s="130">
        <f t="shared" si="205"/>
        <v>252346.13621885894</v>
      </c>
      <c r="O209" s="94"/>
      <c r="P209" s="130">
        <f t="shared" si="206"/>
        <v>28210.393530127156</v>
      </c>
      <c r="Q209" s="94"/>
      <c r="R209" s="130">
        <f t="shared" si="207"/>
        <v>60943.972520781033</v>
      </c>
      <c r="S209" s="94"/>
      <c r="T209" s="130">
        <f t="shared" si="208"/>
        <v>18806.929020084772</v>
      </c>
      <c r="U209" s="94"/>
      <c r="V209" s="130">
        <f t="shared" si="209"/>
        <v>33447.766168631773</v>
      </c>
      <c r="W209" s="94"/>
      <c r="X209" s="130">
        <f t="shared" si="210"/>
        <v>30352.955064060861</v>
      </c>
      <c r="Y209" s="94"/>
      <c r="Z209" s="94">
        <f t="shared" si="223"/>
        <v>0</v>
      </c>
      <c r="AC209" s="97" t="s">
        <v>610</v>
      </c>
      <c r="AE209" s="112">
        <f t="shared" si="221"/>
        <v>15</v>
      </c>
      <c r="AG209" s="550">
        <f t="shared" si="193"/>
        <v>1190311.9632965045</v>
      </c>
      <c r="AH209" s="267"/>
      <c r="AI209" s="130">
        <f t="shared" si="211"/>
        <v>319003.60616346321</v>
      </c>
      <c r="AJ209" s="94"/>
      <c r="AK209" s="130">
        <f t="shared" si="212"/>
        <v>190449.91412744072</v>
      </c>
      <c r="AL209" s="94"/>
      <c r="AM209" s="130">
        <f t="shared" si="213"/>
        <v>100581.36089855463</v>
      </c>
      <c r="AN209" s="94"/>
      <c r="AO209" s="130">
        <f t="shared" si="214"/>
        <v>204019.47050902087</v>
      </c>
      <c r="AP209" s="94"/>
      <c r="AQ209" s="130">
        <f t="shared" si="215"/>
        <v>38685.138807136398</v>
      </c>
      <c r="AR209" s="94"/>
      <c r="AS209" s="130">
        <f t="shared" si="216"/>
        <v>193782.78762467092</v>
      </c>
      <c r="AT209" s="94"/>
      <c r="AU209" s="130">
        <f t="shared" si="217"/>
        <v>82607.650252777414</v>
      </c>
      <c r="AV209" s="94"/>
      <c r="AW209" s="130">
        <f t="shared" si="218"/>
        <v>30829.079849379465</v>
      </c>
      <c r="AX209" s="94"/>
      <c r="AY209" s="130">
        <f t="shared" si="219"/>
        <v>30352.955064060861</v>
      </c>
      <c r="BA209" s="82">
        <f t="shared" si="222"/>
        <v>0</v>
      </c>
      <c r="BB209" s="67"/>
      <c r="BC209" s="67"/>
      <c r="BD209" s="67"/>
    </row>
    <row r="210" spans="1:56" s="225" customFormat="1" x14ac:dyDescent="0.2">
      <c r="A210" s="513"/>
      <c r="B210" s="513"/>
      <c r="C210" s="516"/>
      <c r="D210" s="275"/>
      <c r="E210" s="266"/>
      <c r="F210" s="97" t="s">
        <v>610</v>
      </c>
      <c r="G210" s="418"/>
      <c r="H210" s="224">
        <v>15</v>
      </c>
      <c r="I210" s="223"/>
      <c r="J210" s="515">
        <v>1086154.6849999998</v>
      </c>
      <c r="K210" s="267"/>
      <c r="L210" s="130">
        <f t="shared" si="204"/>
        <v>699157.77073449991</v>
      </c>
      <c r="M210" s="94"/>
      <c r="N210" s="130">
        <f t="shared" si="205"/>
        <v>230264.79321999996</v>
      </c>
      <c r="O210" s="94"/>
      <c r="P210" s="130">
        <f t="shared" si="206"/>
        <v>25741.866034499995</v>
      </c>
      <c r="Q210" s="94"/>
      <c r="R210" s="130">
        <f t="shared" si="207"/>
        <v>55611.119871999996</v>
      </c>
      <c r="S210" s="94"/>
      <c r="T210" s="130">
        <f t="shared" si="208"/>
        <v>17161.244022999999</v>
      </c>
      <c r="U210" s="94"/>
      <c r="V210" s="130">
        <f t="shared" si="209"/>
        <v>30520.946648499994</v>
      </c>
      <c r="W210" s="94"/>
      <c r="X210" s="130">
        <f t="shared" si="210"/>
        <v>27696.944467499994</v>
      </c>
      <c r="Y210" s="94"/>
      <c r="Z210" s="94">
        <f t="shared" si="223"/>
        <v>0</v>
      </c>
      <c r="AC210" s="97" t="s">
        <v>655</v>
      </c>
      <c r="AE210" s="112">
        <f t="shared" ref="AE210:AE212" si="224">+H210</f>
        <v>15</v>
      </c>
      <c r="AF210" s="340"/>
      <c r="AG210" s="550">
        <f t="shared" si="193"/>
        <v>1086154.6849999998</v>
      </c>
      <c r="AH210" s="267"/>
      <c r="AI210" s="130">
        <f t="shared" si="211"/>
        <v>291089.45557999995</v>
      </c>
      <c r="AJ210" s="94"/>
      <c r="AK210" s="130">
        <f t="shared" si="212"/>
        <v>173784.74959999998</v>
      </c>
      <c r="AL210" s="94"/>
      <c r="AM210" s="130">
        <f t="shared" si="213"/>
        <v>91780.070882499989</v>
      </c>
      <c r="AN210" s="94"/>
      <c r="AO210" s="130">
        <f t="shared" si="214"/>
        <v>186166.91300899995</v>
      </c>
      <c r="AP210" s="94"/>
      <c r="AQ210" s="130">
        <f t="shared" si="215"/>
        <v>35300.027262499993</v>
      </c>
      <c r="AR210" s="94"/>
      <c r="AS210" s="130">
        <f t="shared" si="216"/>
        <v>176825.98271799998</v>
      </c>
      <c r="AT210" s="94"/>
      <c r="AU210" s="130">
        <f t="shared" si="217"/>
        <v>75379.135138999991</v>
      </c>
      <c r="AV210" s="94"/>
      <c r="AW210" s="130">
        <f t="shared" si="218"/>
        <v>28131.406341499995</v>
      </c>
      <c r="AX210" s="94"/>
      <c r="AY210" s="130">
        <f t="shared" si="219"/>
        <v>27696.944467499994</v>
      </c>
      <c r="AZ210" s="340"/>
      <c r="BA210" s="82">
        <f t="shared" ref="BA210:BA212" si="225">SUM(AI210:AY210)-AG210</f>
        <v>0</v>
      </c>
      <c r="BB210" s="67"/>
      <c r="BC210" s="67"/>
      <c r="BD210" s="67"/>
    </row>
    <row r="211" spans="1:56" s="225" customFormat="1" x14ac:dyDescent="0.2">
      <c r="A211" s="513"/>
      <c r="B211" s="516"/>
      <c r="C211" s="516"/>
      <c r="D211" s="275"/>
      <c r="E211" s="266"/>
      <c r="F211" s="97" t="s">
        <v>655</v>
      </c>
      <c r="G211" s="418"/>
      <c r="H211" s="224">
        <v>15</v>
      </c>
      <c r="I211" s="223"/>
      <c r="J211" s="515">
        <v>-10078.200000000003</v>
      </c>
      <c r="K211" s="267"/>
      <c r="L211" s="130">
        <f t="shared" si="204"/>
        <v>-6487.3373400000019</v>
      </c>
      <c r="M211" s="94"/>
      <c r="N211" s="130">
        <f t="shared" si="205"/>
        <v>-2136.5784000000003</v>
      </c>
      <c r="O211" s="94"/>
      <c r="P211" s="130">
        <f t="shared" si="206"/>
        <v>-238.85334000000006</v>
      </c>
      <c r="Q211" s="94"/>
      <c r="R211" s="130">
        <f t="shared" si="207"/>
        <v>-516.0038400000002</v>
      </c>
      <c r="S211" s="94"/>
      <c r="T211" s="130">
        <f t="shared" si="208"/>
        <v>-159.23556000000005</v>
      </c>
      <c r="U211" s="94"/>
      <c r="V211" s="130">
        <f t="shared" si="209"/>
        <v>-283.19742000000008</v>
      </c>
      <c r="W211" s="94"/>
      <c r="X211" s="130">
        <f t="shared" si="210"/>
        <v>-256.99410000000006</v>
      </c>
      <c r="Y211" s="94"/>
      <c r="Z211" s="94">
        <f t="shared" si="223"/>
        <v>0</v>
      </c>
      <c r="AC211" s="97" t="s">
        <v>656</v>
      </c>
      <c r="AE211" s="112">
        <f t="shared" si="224"/>
        <v>15</v>
      </c>
      <c r="AF211" s="340"/>
      <c r="AG211" s="550">
        <f t="shared" si="193"/>
        <v>-10078.200000000003</v>
      </c>
      <c r="AH211" s="267"/>
      <c r="AI211" s="130">
        <f t="shared" si="211"/>
        <v>-2700.9576000000006</v>
      </c>
      <c r="AJ211" s="94"/>
      <c r="AK211" s="130">
        <f t="shared" si="212"/>
        <v>-1612.5120000000004</v>
      </c>
      <c r="AL211" s="94"/>
      <c r="AM211" s="130">
        <f t="shared" si="213"/>
        <v>-851.60790000000031</v>
      </c>
      <c r="AN211" s="94"/>
      <c r="AO211" s="130">
        <f t="shared" si="214"/>
        <v>-1727.4034800000004</v>
      </c>
      <c r="AP211" s="94"/>
      <c r="AQ211" s="130">
        <f t="shared" si="215"/>
        <v>-327.5415000000001</v>
      </c>
      <c r="AR211" s="94"/>
      <c r="AS211" s="130">
        <f t="shared" si="216"/>
        <v>-1640.7309600000003</v>
      </c>
      <c r="AT211" s="94"/>
      <c r="AU211" s="130">
        <f t="shared" si="217"/>
        <v>-699.42708000000016</v>
      </c>
      <c r="AV211" s="94"/>
      <c r="AW211" s="130">
        <f t="shared" si="218"/>
        <v>-261.02538000000004</v>
      </c>
      <c r="AX211" s="94"/>
      <c r="AY211" s="130">
        <f t="shared" si="219"/>
        <v>-256.99410000000006</v>
      </c>
      <c r="AZ211" s="340"/>
      <c r="BA211" s="82">
        <f t="shared" si="225"/>
        <v>0</v>
      </c>
      <c r="BB211" s="67"/>
      <c r="BC211" s="67"/>
      <c r="BD211" s="67"/>
    </row>
    <row r="212" spans="1:56" s="225" customFormat="1" x14ac:dyDescent="0.2">
      <c r="A212" s="513"/>
      <c r="B212" s="516"/>
      <c r="C212" s="516"/>
      <c r="D212" s="275"/>
      <c r="E212" s="266"/>
      <c r="F212" s="97" t="s">
        <v>656</v>
      </c>
      <c r="G212" s="418"/>
      <c r="H212" s="224">
        <v>15</v>
      </c>
      <c r="I212" s="223"/>
      <c r="J212" s="515">
        <v>199468.88993706965</v>
      </c>
      <c r="K212" s="267"/>
      <c r="L212" s="130">
        <f t="shared" si="204"/>
        <v>128398.12445249174</v>
      </c>
      <c r="M212" s="94"/>
      <c r="N212" s="130">
        <f t="shared" si="205"/>
        <v>42287.40466665876</v>
      </c>
      <c r="O212" s="94"/>
      <c r="P212" s="130">
        <f t="shared" si="206"/>
        <v>4727.4126915085508</v>
      </c>
      <c r="Q212" s="94"/>
      <c r="R212" s="130">
        <f t="shared" si="207"/>
        <v>10212.807164777967</v>
      </c>
      <c r="S212" s="94"/>
      <c r="T212" s="130">
        <f t="shared" si="208"/>
        <v>3151.6084610057005</v>
      </c>
      <c r="U212" s="94"/>
      <c r="V212" s="130">
        <f t="shared" si="209"/>
        <v>5605.0758072316567</v>
      </c>
      <c r="W212" s="94"/>
      <c r="X212" s="130">
        <f t="shared" si="210"/>
        <v>5086.4566933952756</v>
      </c>
      <c r="Y212" s="94"/>
      <c r="Z212" s="94">
        <f t="shared" si="223"/>
        <v>0</v>
      </c>
      <c r="AC212" s="97" t="s">
        <v>657</v>
      </c>
      <c r="AE212" s="112">
        <f t="shared" si="224"/>
        <v>15</v>
      </c>
      <c r="AF212" s="340"/>
      <c r="AG212" s="550">
        <f t="shared" si="193"/>
        <v>199468.88993706965</v>
      </c>
      <c r="AH212" s="267"/>
      <c r="AI212" s="130">
        <f t="shared" si="211"/>
        <v>53457.66250313467</v>
      </c>
      <c r="AJ212" s="94"/>
      <c r="AK212" s="130">
        <f t="shared" si="212"/>
        <v>31915.022389931142</v>
      </c>
      <c r="AL212" s="94"/>
      <c r="AM212" s="130">
        <f t="shared" si="213"/>
        <v>16855.121199682388</v>
      </c>
      <c r="AN212" s="94"/>
      <c r="AO212" s="130">
        <f t="shared" si="214"/>
        <v>34188.967735213737</v>
      </c>
      <c r="AP212" s="94"/>
      <c r="AQ212" s="130">
        <f t="shared" si="215"/>
        <v>6482.7389229547634</v>
      </c>
      <c r="AR212" s="94"/>
      <c r="AS212" s="130">
        <f t="shared" si="216"/>
        <v>32473.535281754939</v>
      </c>
      <c r="AT212" s="94"/>
      <c r="AU212" s="130">
        <f t="shared" si="217"/>
        <v>13843.140961632635</v>
      </c>
      <c r="AV212" s="94"/>
      <c r="AW212" s="130">
        <f t="shared" si="218"/>
        <v>5166.2442493701037</v>
      </c>
      <c r="AX212" s="94"/>
      <c r="AY212" s="130">
        <f t="shared" si="219"/>
        <v>5086.4566933952756</v>
      </c>
      <c r="AZ212" s="340"/>
      <c r="BA212" s="82">
        <f t="shared" si="225"/>
        <v>0</v>
      </c>
      <c r="BB212" s="67"/>
      <c r="BC212" s="67"/>
      <c r="BD212" s="67"/>
    </row>
    <row r="213" spans="1:56" s="225" customFormat="1" x14ac:dyDescent="0.2">
      <c r="A213" s="513"/>
      <c r="B213" s="513"/>
      <c r="C213" s="516"/>
      <c r="D213" s="275"/>
      <c r="E213" s="266"/>
      <c r="F213" s="97" t="s">
        <v>657</v>
      </c>
      <c r="G213" s="418"/>
      <c r="H213" s="224">
        <v>13</v>
      </c>
      <c r="I213" s="223"/>
      <c r="J213" s="515">
        <v>102996.29100737491</v>
      </c>
      <c r="K213" s="267"/>
      <c r="L213" s="130">
        <f t="shared" si="204"/>
        <v>92840.856714047739</v>
      </c>
      <c r="M213" s="94"/>
      <c r="N213" s="130">
        <f t="shared" si="205"/>
        <v>7086.1448213073936</v>
      </c>
      <c r="O213" s="94"/>
      <c r="P213" s="130">
        <f t="shared" si="206"/>
        <v>41.198516402949963</v>
      </c>
      <c r="Q213" s="94"/>
      <c r="R213" s="130">
        <f t="shared" si="207"/>
        <v>617.97774604424944</v>
      </c>
      <c r="S213" s="94"/>
      <c r="T213" s="130">
        <f t="shared" si="208"/>
        <v>10.299629100737491</v>
      </c>
      <c r="U213" s="94"/>
      <c r="V213" s="130">
        <f t="shared" si="209"/>
        <v>2368.9146931696228</v>
      </c>
      <c r="W213" s="94"/>
      <c r="X213" s="130">
        <f t="shared" si="210"/>
        <v>30.898887302212469</v>
      </c>
      <c r="Y213" s="94"/>
      <c r="Z213" s="94">
        <f t="shared" ref="Z213" si="226">SUM(L213:X213)-J213</f>
        <v>0</v>
      </c>
      <c r="AC213" s="223" t="s">
        <v>462</v>
      </c>
      <c r="AE213" s="112">
        <f t="shared" ref="AE213:AE214" si="227">+H213</f>
        <v>13</v>
      </c>
      <c r="AF213" s="340"/>
      <c r="AG213" s="550">
        <f t="shared" si="193"/>
        <v>102996.29100737491</v>
      </c>
      <c r="AH213" s="267"/>
      <c r="AI213" s="130">
        <f t="shared" si="211"/>
        <v>0</v>
      </c>
      <c r="AJ213" s="94"/>
      <c r="AK213" s="130">
        <f t="shared" si="212"/>
        <v>0</v>
      </c>
      <c r="AL213" s="94"/>
      <c r="AM213" s="130">
        <f t="shared" si="213"/>
        <v>0</v>
      </c>
      <c r="AN213" s="94"/>
      <c r="AO213" s="130">
        <f t="shared" si="214"/>
        <v>0</v>
      </c>
      <c r="AP213" s="94"/>
      <c r="AQ213" s="130">
        <f t="shared" si="215"/>
        <v>0</v>
      </c>
      <c r="AR213" s="94"/>
      <c r="AS213" s="130">
        <f t="shared" si="216"/>
        <v>100596.47742690307</v>
      </c>
      <c r="AT213" s="94"/>
      <c r="AU213" s="130">
        <f t="shared" si="217"/>
        <v>0</v>
      </c>
      <c r="AV213" s="94"/>
      <c r="AW213" s="130">
        <f t="shared" si="218"/>
        <v>2368.9146931696228</v>
      </c>
      <c r="AX213" s="94"/>
      <c r="AY213" s="130">
        <f t="shared" si="219"/>
        <v>30.898887302212469</v>
      </c>
      <c r="AZ213" s="340"/>
      <c r="BA213" s="82">
        <f t="shared" ref="BA213:BA214" si="228">SUM(AI213:AY213)-AG213</f>
        <v>0</v>
      </c>
      <c r="BB213" s="67"/>
      <c r="BC213" s="67"/>
      <c r="BD213" s="67"/>
    </row>
    <row r="214" spans="1:56" s="225" customFormat="1" x14ac:dyDescent="0.2">
      <c r="A214" s="513"/>
      <c r="B214" s="513"/>
      <c r="C214" s="516"/>
      <c r="D214" s="275"/>
      <c r="E214" s="266"/>
      <c r="F214" s="223" t="s">
        <v>462</v>
      </c>
      <c r="G214" s="418"/>
      <c r="H214" s="224">
        <v>15</v>
      </c>
      <c r="I214" s="223"/>
      <c r="J214" s="515">
        <v>39249.949999999997</v>
      </c>
      <c r="K214" s="267"/>
      <c r="L214" s="130">
        <f t="shared" si="204"/>
        <v>25265.192814999999</v>
      </c>
      <c r="M214" s="94"/>
      <c r="N214" s="130">
        <f t="shared" si="205"/>
        <v>8320.9893999999986</v>
      </c>
      <c r="O214" s="94"/>
      <c r="P214" s="130">
        <f t="shared" si="206"/>
        <v>930.22381499999983</v>
      </c>
      <c r="Q214" s="94"/>
      <c r="R214" s="130">
        <f t="shared" si="207"/>
        <v>2009.59744</v>
      </c>
      <c r="S214" s="94"/>
      <c r="T214" s="130">
        <f t="shared" si="208"/>
        <v>620.14921000000004</v>
      </c>
      <c r="U214" s="94"/>
      <c r="V214" s="130">
        <f t="shared" si="209"/>
        <v>1102.923595</v>
      </c>
      <c r="W214" s="94"/>
      <c r="X214" s="130">
        <f t="shared" si="210"/>
        <v>1000.8737249999998</v>
      </c>
      <c r="Y214" s="94"/>
      <c r="Z214" s="94">
        <f t="shared" si="223"/>
        <v>0</v>
      </c>
      <c r="AC214" s="223" t="s">
        <v>462</v>
      </c>
      <c r="AE214" s="112">
        <f t="shared" si="227"/>
        <v>15</v>
      </c>
      <c r="AF214" s="340"/>
      <c r="AG214" s="550">
        <f t="shared" si="193"/>
        <v>39249.949999999997</v>
      </c>
      <c r="AH214" s="267"/>
      <c r="AI214" s="130">
        <f t="shared" si="211"/>
        <v>10518.9866</v>
      </c>
      <c r="AJ214" s="94"/>
      <c r="AK214" s="130">
        <f t="shared" si="212"/>
        <v>6279.9919999999993</v>
      </c>
      <c r="AL214" s="94"/>
      <c r="AM214" s="130">
        <f t="shared" si="213"/>
        <v>3316.6207749999999</v>
      </c>
      <c r="AN214" s="94"/>
      <c r="AO214" s="130">
        <f t="shared" si="214"/>
        <v>6727.4414299999989</v>
      </c>
      <c r="AP214" s="94"/>
      <c r="AQ214" s="130">
        <f t="shared" si="215"/>
        <v>1275.6233749999999</v>
      </c>
      <c r="AR214" s="94"/>
      <c r="AS214" s="130">
        <f t="shared" si="216"/>
        <v>6389.8918599999997</v>
      </c>
      <c r="AT214" s="94"/>
      <c r="AU214" s="130">
        <f t="shared" si="217"/>
        <v>2723.9465299999997</v>
      </c>
      <c r="AV214" s="94"/>
      <c r="AW214" s="130">
        <f t="shared" si="218"/>
        <v>1016.5737049999999</v>
      </c>
      <c r="AX214" s="94"/>
      <c r="AY214" s="130">
        <f t="shared" si="219"/>
        <v>1000.8737249999998</v>
      </c>
      <c r="AZ214" s="340"/>
      <c r="BA214" s="82">
        <f t="shared" si="228"/>
        <v>0</v>
      </c>
      <c r="BB214" s="67"/>
      <c r="BC214" s="67"/>
      <c r="BD214" s="67"/>
    </row>
    <row r="215" spans="1:56" s="340" customFormat="1" x14ac:dyDescent="0.2">
      <c r="A215" s="513"/>
      <c r="B215" s="513"/>
      <c r="C215" s="516"/>
      <c r="D215" s="273"/>
      <c r="E215" s="94"/>
      <c r="F215" s="97" t="s">
        <v>463</v>
      </c>
      <c r="G215" s="55"/>
      <c r="H215" s="131">
        <v>15</v>
      </c>
      <c r="I215" s="97"/>
      <c r="J215" s="515">
        <v>-129.12000000000003</v>
      </c>
      <c r="K215" s="267"/>
      <c r="L215" s="130">
        <f t="shared" si="204"/>
        <v>-83.114544000000024</v>
      </c>
      <c r="M215" s="94"/>
      <c r="N215" s="130">
        <f t="shared" si="205"/>
        <v>-27.373440000000006</v>
      </c>
      <c r="O215" s="94"/>
      <c r="P215" s="130">
        <f t="shared" si="206"/>
        <v>-3.0601440000000006</v>
      </c>
      <c r="Q215" s="94"/>
      <c r="R215" s="130">
        <f t="shared" si="207"/>
        <v>-6.6109440000000017</v>
      </c>
      <c r="S215" s="94"/>
      <c r="T215" s="130">
        <f t="shared" si="208"/>
        <v>-2.0400960000000006</v>
      </c>
      <c r="U215" s="94"/>
      <c r="V215" s="130">
        <f t="shared" si="209"/>
        <v>-3.6282720000000008</v>
      </c>
      <c r="W215" s="94"/>
      <c r="X215" s="130">
        <f t="shared" si="210"/>
        <v>-3.2925600000000008</v>
      </c>
      <c r="Y215" s="94"/>
      <c r="Z215" s="94">
        <f t="shared" si="223"/>
        <v>0</v>
      </c>
      <c r="AC215" s="97" t="s">
        <v>463</v>
      </c>
      <c r="AE215" s="112">
        <f t="shared" si="221"/>
        <v>15</v>
      </c>
      <c r="AG215" s="550">
        <f t="shared" si="193"/>
        <v>-129.12000000000003</v>
      </c>
      <c r="AH215" s="267"/>
      <c r="AI215" s="130">
        <f t="shared" si="211"/>
        <v>-34.604160000000007</v>
      </c>
      <c r="AJ215" s="94"/>
      <c r="AK215" s="130">
        <f t="shared" si="212"/>
        <v>-20.659200000000006</v>
      </c>
      <c r="AL215" s="94"/>
      <c r="AM215" s="130">
        <f t="shared" si="213"/>
        <v>-10.910640000000004</v>
      </c>
      <c r="AN215" s="94"/>
      <c r="AO215" s="130">
        <f t="shared" si="214"/>
        <v>-22.131168000000006</v>
      </c>
      <c r="AP215" s="94"/>
      <c r="AQ215" s="130">
        <f t="shared" si="215"/>
        <v>-4.1964000000000015</v>
      </c>
      <c r="AR215" s="94"/>
      <c r="AS215" s="130">
        <f t="shared" si="216"/>
        <v>-21.020736000000007</v>
      </c>
      <c r="AT215" s="94"/>
      <c r="AU215" s="130">
        <f t="shared" si="217"/>
        <v>-8.9609280000000027</v>
      </c>
      <c r="AV215" s="94"/>
      <c r="AW215" s="130">
        <f t="shared" si="218"/>
        <v>-3.344208000000001</v>
      </c>
      <c r="AX215" s="94"/>
      <c r="AY215" s="130">
        <f t="shared" si="219"/>
        <v>-3.2925600000000008</v>
      </c>
      <c r="BA215" s="82">
        <f t="shared" si="222"/>
        <v>0</v>
      </c>
      <c r="BB215" s="67"/>
      <c r="BC215" s="67"/>
      <c r="BD215" s="67"/>
    </row>
    <row r="216" spans="1:56" s="340" customFormat="1" x14ac:dyDescent="0.2">
      <c r="A216" s="513"/>
      <c r="B216" s="513"/>
      <c r="C216" s="516"/>
      <c r="D216" s="273"/>
      <c r="E216" s="94"/>
      <c r="F216" s="97" t="s">
        <v>464</v>
      </c>
      <c r="G216" s="55"/>
      <c r="H216" s="131">
        <v>15</v>
      </c>
      <c r="I216" s="97"/>
      <c r="J216" s="515">
        <v>298181.49575200008</v>
      </c>
      <c r="K216" s="267"/>
      <c r="L216" s="130">
        <f t="shared" si="204"/>
        <v>191939.42881556245</v>
      </c>
      <c r="M216" s="94"/>
      <c r="N216" s="130">
        <f t="shared" si="205"/>
        <v>63214.477099424017</v>
      </c>
      <c r="O216" s="94"/>
      <c r="P216" s="130">
        <f t="shared" si="206"/>
        <v>7066.9014493224013</v>
      </c>
      <c r="Q216" s="94"/>
      <c r="R216" s="130">
        <f t="shared" si="207"/>
        <v>15266.892582502405</v>
      </c>
      <c r="S216" s="94"/>
      <c r="T216" s="130">
        <f t="shared" si="208"/>
        <v>4711.2676328816015</v>
      </c>
      <c r="U216" s="94"/>
      <c r="V216" s="130">
        <f t="shared" si="209"/>
        <v>8378.9000306312028</v>
      </c>
      <c r="W216" s="94"/>
      <c r="X216" s="130">
        <f t="shared" si="210"/>
        <v>7603.6281416760012</v>
      </c>
      <c r="Y216" s="94"/>
      <c r="Z216" s="94">
        <f t="shared" si="223"/>
        <v>0</v>
      </c>
      <c r="AC216" s="97" t="s">
        <v>464</v>
      </c>
      <c r="AE216" s="112">
        <f t="shared" si="221"/>
        <v>15</v>
      </c>
      <c r="AG216" s="550">
        <f t="shared" si="193"/>
        <v>298181.49575200008</v>
      </c>
      <c r="AH216" s="267"/>
      <c r="AI216" s="130">
        <f t="shared" si="211"/>
        <v>79912.640861536027</v>
      </c>
      <c r="AJ216" s="94"/>
      <c r="AK216" s="130">
        <f t="shared" si="212"/>
        <v>47709.039320320015</v>
      </c>
      <c r="AL216" s="94"/>
      <c r="AM216" s="130">
        <f t="shared" si="213"/>
        <v>25196.336391044009</v>
      </c>
      <c r="AN216" s="94"/>
      <c r="AO216" s="130">
        <f t="shared" si="214"/>
        <v>51108.30837189281</v>
      </c>
      <c r="AP216" s="94"/>
      <c r="AQ216" s="130">
        <f t="shared" si="215"/>
        <v>9690.8986119400033</v>
      </c>
      <c r="AR216" s="94"/>
      <c r="AS216" s="130">
        <f t="shared" si="216"/>
        <v>48543.947508425612</v>
      </c>
      <c r="AT216" s="94"/>
      <c r="AU216" s="130">
        <f t="shared" si="217"/>
        <v>20693.795805188805</v>
      </c>
      <c r="AV216" s="94"/>
      <c r="AW216" s="130">
        <f t="shared" si="218"/>
        <v>7722.9007399768016</v>
      </c>
      <c r="AX216" s="94"/>
      <c r="AY216" s="130">
        <f t="shared" si="219"/>
        <v>7603.6281416760012</v>
      </c>
      <c r="BA216" s="82">
        <f t="shared" si="222"/>
        <v>0</v>
      </c>
      <c r="BB216" s="67"/>
      <c r="BC216" s="67"/>
      <c r="BD216" s="67"/>
    </row>
    <row r="217" spans="1:56" s="340" customFormat="1" x14ac:dyDescent="0.2">
      <c r="A217" s="513"/>
      <c r="B217" s="513"/>
      <c r="C217" s="516"/>
      <c r="D217" s="273"/>
      <c r="E217" s="94"/>
      <c r="F217" s="97" t="s">
        <v>465</v>
      </c>
      <c r="G217" s="55"/>
      <c r="H217" s="131">
        <v>15</v>
      </c>
      <c r="I217" s="97"/>
      <c r="J217" s="515">
        <v>221641.55050527799</v>
      </c>
      <c r="K217" s="267"/>
      <c r="L217" s="130">
        <f t="shared" si="204"/>
        <v>142670.66606024746</v>
      </c>
      <c r="M217" s="94"/>
      <c r="N217" s="130">
        <f t="shared" si="205"/>
        <v>46988.008707118934</v>
      </c>
      <c r="O217" s="94"/>
      <c r="P217" s="130">
        <f t="shared" si="206"/>
        <v>5252.9047469750885</v>
      </c>
      <c r="Q217" s="94"/>
      <c r="R217" s="130">
        <f t="shared" si="207"/>
        <v>11348.047385870233</v>
      </c>
      <c r="S217" s="94"/>
      <c r="T217" s="130">
        <f t="shared" si="208"/>
        <v>3501.9364979833927</v>
      </c>
      <c r="U217" s="94"/>
      <c r="V217" s="130">
        <f t="shared" si="209"/>
        <v>6228.1275691983119</v>
      </c>
      <c r="W217" s="94"/>
      <c r="X217" s="130">
        <f t="shared" si="210"/>
        <v>5651.8595378845885</v>
      </c>
      <c r="Y217" s="94"/>
      <c r="Z217" s="94">
        <f t="shared" si="223"/>
        <v>0</v>
      </c>
      <c r="AC217" s="97" t="s">
        <v>465</v>
      </c>
      <c r="AE217" s="112">
        <f t="shared" si="221"/>
        <v>15</v>
      </c>
      <c r="AG217" s="550">
        <f t="shared" si="193"/>
        <v>221641.55050527799</v>
      </c>
      <c r="AH217" s="267"/>
      <c r="AI217" s="130">
        <f t="shared" si="211"/>
        <v>59399.935535414508</v>
      </c>
      <c r="AJ217" s="94"/>
      <c r="AK217" s="130">
        <f t="shared" si="212"/>
        <v>35462.648080844483</v>
      </c>
      <c r="AL217" s="94"/>
      <c r="AM217" s="130">
        <f t="shared" si="213"/>
        <v>18728.71101769599</v>
      </c>
      <c r="AN217" s="94"/>
      <c r="AO217" s="130">
        <f t="shared" si="214"/>
        <v>37989.361756604645</v>
      </c>
      <c r="AP217" s="94"/>
      <c r="AQ217" s="130">
        <f t="shared" si="215"/>
        <v>7203.3503914215353</v>
      </c>
      <c r="AR217" s="94"/>
      <c r="AS217" s="130">
        <f t="shared" si="216"/>
        <v>36083.24442225926</v>
      </c>
      <c r="AT217" s="94"/>
      <c r="AU217" s="130">
        <f t="shared" si="217"/>
        <v>15381.923605066293</v>
      </c>
      <c r="AV217" s="94"/>
      <c r="AW217" s="130">
        <f t="shared" si="218"/>
        <v>5740.5161580866998</v>
      </c>
      <c r="AX217" s="94"/>
      <c r="AY217" s="130">
        <f t="shared" si="219"/>
        <v>5651.8595378845885</v>
      </c>
      <c r="BA217" s="82">
        <f t="shared" si="222"/>
        <v>0</v>
      </c>
      <c r="BB217" s="67"/>
      <c r="BC217" s="67"/>
      <c r="BD217" s="67"/>
    </row>
    <row r="218" spans="1:56" s="340" customFormat="1" x14ac:dyDescent="0.2">
      <c r="A218" s="513"/>
      <c r="B218" s="513"/>
      <c r="C218" s="516"/>
      <c r="D218" s="273"/>
      <c r="E218" s="94"/>
      <c r="F218" s="97" t="s">
        <v>466</v>
      </c>
      <c r="G218" s="55"/>
      <c r="H218" s="131">
        <v>15</v>
      </c>
      <c r="I218" s="97"/>
      <c r="J218" s="515">
        <v>19076.930444208327</v>
      </c>
      <c r="K218" s="267"/>
      <c r="L218" s="130">
        <f t="shared" si="204"/>
        <v>12279.8201269369</v>
      </c>
      <c r="M218" s="94"/>
      <c r="N218" s="130">
        <f t="shared" si="205"/>
        <v>4044.3092541721653</v>
      </c>
      <c r="O218" s="94"/>
      <c r="P218" s="130">
        <f t="shared" si="206"/>
        <v>452.1232515277373</v>
      </c>
      <c r="Q218" s="94"/>
      <c r="R218" s="130">
        <f t="shared" si="207"/>
        <v>976.73883874346632</v>
      </c>
      <c r="S218" s="94"/>
      <c r="T218" s="130">
        <f t="shared" si="208"/>
        <v>301.41550101849157</v>
      </c>
      <c r="U218" s="94"/>
      <c r="V218" s="130">
        <f t="shared" si="209"/>
        <v>536.06174548225397</v>
      </c>
      <c r="W218" s="94"/>
      <c r="X218" s="130">
        <f t="shared" si="210"/>
        <v>486.46172632731231</v>
      </c>
      <c r="Y218" s="94"/>
      <c r="Z218" s="94">
        <f t="shared" si="223"/>
        <v>0</v>
      </c>
      <c r="AC218" s="97" t="s">
        <v>466</v>
      </c>
      <c r="AE218" s="112">
        <f t="shared" si="221"/>
        <v>15</v>
      </c>
      <c r="AG218" s="550">
        <f t="shared" si="193"/>
        <v>19076.930444208327</v>
      </c>
      <c r="AH218" s="267"/>
      <c r="AI218" s="130">
        <f t="shared" si="211"/>
        <v>5112.617359047832</v>
      </c>
      <c r="AJ218" s="94"/>
      <c r="AK218" s="130">
        <f t="shared" si="212"/>
        <v>3052.3088710733323</v>
      </c>
      <c r="AL218" s="94"/>
      <c r="AM218" s="130">
        <f t="shared" si="213"/>
        <v>1612.0006225356037</v>
      </c>
      <c r="AN218" s="94"/>
      <c r="AO218" s="130">
        <f t="shared" si="214"/>
        <v>3269.785878137307</v>
      </c>
      <c r="AP218" s="94"/>
      <c r="AQ218" s="130">
        <f t="shared" si="215"/>
        <v>620.00023943677058</v>
      </c>
      <c r="AR218" s="94"/>
      <c r="AS218" s="130">
        <f t="shared" si="216"/>
        <v>3105.7242763171157</v>
      </c>
      <c r="AT218" s="94"/>
      <c r="AU218" s="130">
        <f t="shared" si="217"/>
        <v>1323.938972828058</v>
      </c>
      <c r="AV218" s="94"/>
      <c r="AW218" s="130">
        <f t="shared" si="218"/>
        <v>494.09249850499566</v>
      </c>
      <c r="AX218" s="94"/>
      <c r="AY218" s="130">
        <f t="shared" si="219"/>
        <v>486.46172632731231</v>
      </c>
      <c r="BA218" s="82">
        <f t="shared" si="222"/>
        <v>0</v>
      </c>
      <c r="BB218" s="67"/>
      <c r="BC218" s="67"/>
      <c r="BD218" s="67"/>
    </row>
    <row r="219" spans="1:56" s="340" customFormat="1" x14ac:dyDescent="0.2">
      <c r="A219" s="513"/>
      <c r="B219" s="513"/>
      <c r="C219" s="516"/>
      <c r="D219" s="273"/>
      <c r="E219" s="94"/>
      <c r="F219" s="97" t="s">
        <v>467</v>
      </c>
      <c r="G219" s="55"/>
      <c r="H219" s="131">
        <v>15</v>
      </c>
      <c r="I219" s="97"/>
      <c r="J219" s="515">
        <v>144778.11467816675</v>
      </c>
      <c r="K219" s="267"/>
      <c r="L219" s="130">
        <f t="shared" si="204"/>
        <v>93193.672418335947</v>
      </c>
      <c r="M219" s="94"/>
      <c r="N219" s="130">
        <f t="shared" si="205"/>
        <v>30692.960311771349</v>
      </c>
      <c r="O219" s="94"/>
      <c r="P219" s="130">
        <f t="shared" si="206"/>
        <v>3431.2413178725519</v>
      </c>
      <c r="Q219" s="94"/>
      <c r="R219" s="130">
        <f t="shared" si="207"/>
        <v>7412.6394715221377</v>
      </c>
      <c r="S219" s="94"/>
      <c r="T219" s="130">
        <f t="shared" si="208"/>
        <v>2287.4942119150351</v>
      </c>
      <c r="U219" s="94"/>
      <c r="V219" s="130">
        <f t="shared" si="209"/>
        <v>4068.2650224564854</v>
      </c>
      <c r="W219" s="94"/>
      <c r="X219" s="130">
        <f t="shared" si="210"/>
        <v>3691.8419242932519</v>
      </c>
      <c r="Y219" s="94"/>
      <c r="Z219" s="94">
        <f t="shared" si="223"/>
        <v>0</v>
      </c>
      <c r="AC219" s="97" t="s">
        <v>467</v>
      </c>
      <c r="AE219" s="112">
        <f t="shared" si="221"/>
        <v>15</v>
      </c>
      <c r="AG219" s="550">
        <f t="shared" si="193"/>
        <v>144778.11467816675</v>
      </c>
      <c r="AH219" s="267"/>
      <c r="AI219" s="130">
        <f t="shared" si="211"/>
        <v>38800.534733748689</v>
      </c>
      <c r="AJ219" s="94"/>
      <c r="AK219" s="130">
        <f t="shared" si="212"/>
        <v>23164.49834850668</v>
      </c>
      <c r="AL219" s="94"/>
      <c r="AM219" s="130">
        <f t="shared" si="213"/>
        <v>12233.750690305091</v>
      </c>
      <c r="AN219" s="94"/>
      <c r="AO219" s="130">
        <f t="shared" si="214"/>
        <v>24814.968855837782</v>
      </c>
      <c r="AP219" s="94"/>
      <c r="AQ219" s="130">
        <f t="shared" si="215"/>
        <v>4705.2887270404199</v>
      </c>
      <c r="AR219" s="94"/>
      <c r="AS219" s="130">
        <f t="shared" si="216"/>
        <v>23569.877069605547</v>
      </c>
      <c r="AT219" s="94"/>
      <c r="AU219" s="130">
        <f t="shared" si="217"/>
        <v>10047.601158664773</v>
      </c>
      <c r="AV219" s="94"/>
      <c r="AW219" s="130">
        <f t="shared" si="218"/>
        <v>3749.7531701645189</v>
      </c>
      <c r="AX219" s="94"/>
      <c r="AY219" s="130">
        <f t="shared" si="219"/>
        <v>3691.8419242932519</v>
      </c>
      <c r="BA219" s="82">
        <f t="shared" si="222"/>
        <v>0</v>
      </c>
      <c r="BB219" s="67"/>
      <c r="BC219" s="67"/>
      <c r="BD219" s="67"/>
    </row>
    <row r="220" spans="1:56" s="340" customFormat="1" x14ac:dyDescent="0.2">
      <c r="A220" s="511"/>
      <c r="B220" s="512"/>
      <c r="C220" s="516"/>
      <c r="D220" s="273"/>
      <c r="E220" s="94"/>
      <c r="F220" s="97" t="s">
        <v>468</v>
      </c>
      <c r="G220" s="55"/>
      <c r="H220" s="131">
        <v>15</v>
      </c>
      <c r="I220" s="97"/>
      <c r="J220" s="515">
        <v>2784.1253833333312</v>
      </c>
      <c r="K220" s="267"/>
      <c r="L220" s="130">
        <f t="shared" si="204"/>
        <v>1792.1415092516654</v>
      </c>
      <c r="M220" s="94"/>
      <c r="N220" s="130">
        <f t="shared" si="205"/>
        <v>590.23458126666617</v>
      </c>
      <c r="O220" s="94"/>
      <c r="P220" s="130">
        <f t="shared" si="206"/>
        <v>65.983771584999943</v>
      </c>
      <c r="Q220" s="94"/>
      <c r="R220" s="130">
        <f t="shared" si="207"/>
        <v>142.54721962666656</v>
      </c>
      <c r="S220" s="94"/>
      <c r="T220" s="130">
        <f t="shared" si="208"/>
        <v>43.989181056666638</v>
      </c>
      <c r="U220" s="94"/>
      <c r="V220" s="130">
        <f t="shared" si="209"/>
        <v>78.233923271666612</v>
      </c>
      <c r="W220" s="94"/>
      <c r="X220" s="130">
        <f t="shared" si="210"/>
        <v>70.995197274999938</v>
      </c>
      <c r="Y220" s="94"/>
      <c r="Z220" s="94">
        <f t="shared" si="223"/>
        <v>0</v>
      </c>
      <c r="AC220" s="97" t="s">
        <v>468</v>
      </c>
      <c r="AE220" s="112">
        <f t="shared" si="221"/>
        <v>15</v>
      </c>
      <c r="AG220" s="550">
        <f t="shared" si="193"/>
        <v>2784.1253833333312</v>
      </c>
      <c r="AH220" s="267"/>
      <c r="AI220" s="130">
        <f t="shared" si="211"/>
        <v>746.14560273333279</v>
      </c>
      <c r="AJ220" s="94"/>
      <c r="AK220" s="130">
        <f t="shared" si="212"/>
        <v>445.46006133333299</v>
      </c>
      <c r="AL220" s="94"/>
      <c r="AM220" s="130">
        <f t="shared" si="213"/>
        <v>235.25859489166649</v>
      </c>
      <c r="AN220" s="94"/>
      <c r="AO220" s="130">
        <f t="shared" si="214"/>
        <v>477.19909070333296</v>
      </c>
      <c r="AP220" s="94"/>
      <c r="AQ220" s="130">
        <f t="shared" si="215"/>
        <v>90.484074958333267</v>
      </c>
      <c r="AR220" s="94"/>
      <c r="AS220" s="130">
        <f t="shared" si="216"/>
        <v>453.25561240666633</v>
      </c>
      <c r="AT220" s="94"/>
      <c r="AU220" s="130">
        <f t="shared" si="217"/>
        <v>193.2183016033332</v>
      </c>
      <c r="AV220" s="94"/>
      <c r="AW220" s="130">
        <f t="shared" si="218"/>
        <v>72.108847428333277</v>
      </c>
      <c r="AX220" s="94"/>
      <c r="AY220" s="130">
        <f t="shared" si="219"/>
        <v>70.995197274999938</v>
      </c>
      <c r="BA220" s="82">
        <f t="shared" si="222"/>
        <v>0</v>
      </c>
      <c r="BB220" s="67"/>
      <c r="BC220" s="67"/>
      <c r="BD220" s="67"/>
    </row>
    <row r="221" spans="1:56" s="340" customFormat="1" x14ac:dyDescent="0.2">
      <c r="A221" s="513"/>
      <c r="B221" s="513"/>
      <c r="C221" s="516"/>
      <c r="D221" s="273"/>
      <c r="E221" s="94"/>
      <c r="F221" s="97" t="s">
        <v>469</v>
      </c>
      <c r="G221" s="55"/>
      <c r="H221" s="131">
        <v>15</v>
      </c>
      <c r="I221" s="97"/>
      <c r="J221" s="515">
        <v>161023.67699999982</v>
      </c>
      <c r="K221" s="267"/>
      <c r="L221" s="130">
        <f t="shared" si="204"/>
        <v>103650.94088489989</v>
      </c>
      <c r="M221" s="94"/>
      <c r="N221" s="130">
        <f t="shared" si="205"/>
        <v>34137.019523999959</v>
      </c>
      <c r="O221" s="94"/>
      <c r="P221" s="130">
        <f t="shared" si="206"/>
        <v>3816.2611448999955</v>
      </c>
      <c r="Q221" s="94"/>
      <c r="R221" s="130">
        <f t="shared" si="207"/>
        <v>8244.412262399992</v>
      </c>
      <c r="S221" s="94"/>
      <c r="T221" s="130">
        <f t="shared" si="208"/>
        <v>2544.1740965999975</v>
      </c>
      <c r="U221" s="94"/>
      <c r="V221" s="130">
        <f t="shared" si="209"/>
        <v>4524.765323699995</v>
      </c>
      <c r="W221" s="94"/>
      <c r="X221" s="130">
        <f t="shared" si="210"/>
        <v>4106.1037634999948</v>
      </c>
      <c r="Y221" s="94"/>
      <c r="Z221" s="94">
        <f t="shared" si="223"/>
        <v>0</v>
      </c>
      <c r="AC221" s="97" t="s">
        <v>469</v>
      </c>
      <c r="AE221" s="112">
        <f t="shared" si="221"/>
        <v>15</v>
      </c>
      <c r="AG221" s="550">
        <f t="shared" si="193"/>
        <v>161023.67699999982</v>
      </c>
      <c r="AH221" s="267"/>
      <c r="AI221" s="130">
        <f t="shared" si="211"/>
        <v>43154.345435999952</v>
      </c>
      <c r="AJ221" s="94"/>
      <c r="AK221" s="130">
        <f t="shared" si="212"/>
        <v>25763.788319999971</v>
      </c>
      <c r="AL221" s="94"/>
      <c r="AM221" s="130">
        <f t="shared" si="213"/>
        <v>13606.500706499986</v>
      </c>
      <c r="AN221" s="94"/>
      <c r="AO221" s="130">
        <f t="shared" si="214"/>
        <v>27599.458237799969</v>
      </c>
      <c r="AP221" s="94"/>
      <c r="AQ221" s="130">
        <f t="shared" si="215"/>
        <v>5233.2695024999948</v>
      </c>
      <c r="AR221" s="94"/>
      <c r="AS221" s="130">
        <f t="shared" si="216"/>
        <v>26214.654615599971</v>
      </c>
      <c r="AT221" s="94"/>
      <c r="AU221" s="130">
        <f t="shared" si="217"/>
        <v>11175.043183799988</v>
      </c>
      <c r="AV221" s="94"/>
      <c r="AW221" s="130">
        <f t="shared" si="218"/>
        <v>4170.513234299995</v>
      </c>
      <c r="AX221" s="94"/>
      <c r="AY221" s="130">
        <f t="shared" si="219"/>
        <v>4106.1037634999948</v>
      </c>
      <c r="BA221" s="82">
        <f t="shared" si="222"/>
        <v>0</v>
      </c>
      <c r="BB221" s="67"/>
      <c r="BC221" s="67"/>
      <c r="BD221" s="67"/>
    </row>
    <row r="222" spans="1:56" s="340" customFormat="1" x14ac:dyDescent="0.2">
      <c r="A222" s="513"/>
      <c r="B222" s="513"/>
      <c r="C222" s="516"/>
      <c r="D222" s="273"/>
      <c r="E222" s="94"/>
      <c r="F222" s="97" t="s">
        <v>470</v>
      </c>
      <c r="G222" s="55"/>
      <c r="H222" s="131">
        <v>2</v>
      </c>
      <c r="I222" s="97"/>
      <c r="J222" s="515">
        <v>108275.3975788751</v>
      </c>
      <c r="K222" s="267"/>
      <c r="L222" s="130">
        <f t="shared" si="204"/>
        <v>54267.629266532196</v>
      </c>
      <c r="M222" s="94"/>
      <c r="N222" s="130">
        <f t="shared" si="205"/>
        <v>34951.298338460881</v>
      </c>
      <c r="O222" s="94"/>
      <c r="P222" s="130">
        <f t="shared" si="206"/>
        <v>5143.0813849965671</v>
      </c>
      <c r="Q222" s="94"/>
      <c r="R222" s="130">
        <f t="shared" si="207"/>
        <v>9972.1641170143957</v>
      </c>
      <c r="S222" s="94"/>
      <c r="T222" s="130">
        <f t="shared" si="208"/>
        <v>3551.4330405871028</v>
      </c>
      <c r="U222" s="94"/>
      <c r="V222" s="130">
        <f t="shared" si="209"/>
        <v>194.89571564197516</v>
      </c>
      <c r="W222" s="94"/>
      <c r="X222" s="130">
        <f t="shared" si="210"/>
        <v>194.89571564197516</v>
      </c>
      <c r="Y222" s="94"/>
      <c r="Z222" s="94">
        <f t="shared" si="223"/>
        <v>0</v>
      </c>
      <c r="AC222" s="97" t="s">
        <v>470</v>
      </c>
      <c r="AE222" s="112">
        <f t="shared" si="221"/>
        <v>2</v>
      </c>
      <c r="AG222" s="550">
        <f t="shared" si="193"/>
        <v>108275.3975788751</v>
      </c>
      <c r="AH222" s="267"/>
      <c r="AI222" s="130">
        <f t="shared" si="211"/>
        <v>61478.770745285277</v>
      </c>
      <c r="AJ222" s="94"/>
      <c r="AK222" s="130">
        <f t="shared" si="212"/>
        <v>46406.835402305864</v>
      </c>
      <c r="AL222" s="94"/>
      <c r="AM222" s="130">
        <f t="shared" si="213"/>
        <v>0</v>
      </c>
      <c r="AN222" s="94"/>
      <c r="AO222" s="130">
        <f t="shared" si="214"/>
        <v>0</v>
      </c>
      <c r="AP222" s="94"/>
      <c r="AQ222" s="130">
        <f t="shared" si="215"/>
        <v>0</v>
      </c>
      <c r="AR222" s="94"/>
      <c r="AS222" s="130">
        <f t="shared" si="216"/>
        <v>0</v>
      </c>
      <c r="AT222" s="94"/>
      <c r="AU222" s="130">
        <f t="shared" si="217"/>
        <v>0</v>
      </c>
      <c r="AV222" s="94"/>
      <c r="AW222" s="130">
        <f t="shared" si="218"/>
        <v>194.89571564197516</v>
      </c>
      <c r="AX222" s="94"/>
      <c r="AY222" s="130">
        <f t="shared" si="219"/>
        <v>194.89571564197516</v>
      </c>
      <c r="BA222" s="82">
        <f t="shared" si="222"/>
        <v>0</v>
      </c>
      <c r="BB222" s="67"/>
      <c r="BC222" s="67"/>
      <c r="BD222" s="67"/>
    </row>
    <row r="223" spans="1:56" s="340" customFormat="1" ht="11.25" customHeight="1" x14ac:dyDescent="0.2">
      <c r="A223" s="513"/>
      <c r="B223" s="513"/>
      <c r="C223" s="516"/>
      <c r="D223" s="273"/>
      <c r="E223" s="94"/>
      <c r="F223" s="97" t="s">
        <v>471</v>
      </c>
      <c r="G223" s="55"/>
      <c r="H223" s="131">
        <v>15</v>
      </c>
      <c r="I223" s="97"/>
      <c r="J223" s="515">
        <v>36594.570220541696</v>
      </c>
      <c r="K223" s="267"/>
      <c r="L223" s="130">
        <f t="shared" si="204"/>
        <v>23555.924850962692</v>
      </c>
      <c r="M223" s="94"/>
      <c r="N223" s="130">
        <f t="shared" si="205"/>
        <v>7758.0488867548393</v>
      </c>
      <c r="O223" s="94"/>
      <c r="P223" s="130">
        <f t="shared" si="206"/>
        <v>867.29131422683815</v>
      </c>
      <c r="Q223" s="94"/>
      <c r="R223" s="130">
        <f t="shared" si="207"/>
        <v>1873.6419952917349</v>
      </c>
      <c r="S223" s="94"/>
      <c r="T223" s="130">
        <f t="shared" si="208"/>
        <v>578.19420948455888</v>
      </c>
      <c r="U223" s="94"/>
      <c r="V223" s="130">
        <f t="shared" si="209"/>
        <v>1028.3074231972216</v>
      </c>
      <c r="W223" s="94"/>
      <c r="X223" s="130">
        <f t="shared" si="210"/>
        <v>933.16154062381315</v>
      </c>
      <c r="Y223" s="94"/>
      <c r="Z223" s="94">
        <f t="shared" si="223"/>
        <v>0</v>
      </c>
      <c r="AC223" s="97" t="s">
        <v>471</v>
      </c>
      <c r="AE223" s="112">
        <f t="shared" si="221"/>
        <v>15</v>
      </c>
      <c r="AG223" s="550">
        <f t="shared" si="193"/>
        <v>36594.570220541696</v>
      </c>
      <c r="AH223" s="267"/>
      <c r="AI223" s="130">
        <f t="shared" si="211"/>
        <v>9807.3448191051757</v>
      </c>
      <c r="AJ223" s="94"/>
      <c r="AK223" s="130">
        <f t="shared" si="212"/>
        <v>5855.1312352866717</v>
      </c>
      <c r="AL223" s="94"/>
      <c r="AM223" s="130">
        <f t="shared" si="213"/>
        <v>3092.2411836357737</v>
      </c>
      <c r="AN223" s="94"/>
      <c r="AO223" s="130">
        <f t="shared" si="214"/>
        <v>6272.3093358008464</v>
      </c>
      <c r="AP223" s="94"/>
      <c r="AQ223" s="130">
        <f t="shared" si="215"/>
        <v>1189.3235321676052</v>
      </c>
      <c r="AR223" s="94"/>
      <c r="AS223" s="130">
        <f t="shared" si="216"/>
        <v>5957.5960319041878</v>
      </c>
      <c r="AT223" s="94"/>
      <c r="AU223" s="130">
        <f t="shared" si="217"/>
        <v>2539.6631733055938</v>
      </c>
      <c r="AV223" s="94"/>
      <c r="AW223" s="130">
        <f t="shared" si="218"/>
        <v>947.79936871202995</v>
      </c>
      <c r="AX223" s="94"/>
      <c r="AY223" s="130">
        <f t="shared" si="219"/>
        <v>933.16154062381315</v>
      </c>
      <c r="BA223" s="82">
        <f t="shared" si="222"/>
        <v>0</v>
      </c>
      <c r="BB223" s="67"/>
      <c r="BC223" s="67"/>
      <c r="BD223" s="67"/>
    </row>
    <row r="224" spans="1:56" s="340" customFormat="1" x14ac:dyDescent="0.2">
      <c r="A224" s="513"/>
      <c r="B224" s="513"/>
      <c r="C224" s="516"/>
      <c r="D224" s="273"/>
      <c r="E224" s="94"/>
      <c r="F224" s="97" t="s">
        <v>549</v>
      </c>
      <c r="G224" s="55"/>
      <c r="H224" s="131">
        <v>15</v>
      </c>
      <c r="I224" s="97"/>
      <c r="J224" s="515">
        <v>27055.681089388898</v>
      </c>
      <c r="K224" s="267"/>
      <c r="L224" s="130">
        <f t="shared" si="204"/>
        <v>17415.741917239637</v>
      </c>
      <c r="M224" s="94"/>
      <c r="N224" s="130">
        <f t="shared" si="205"/>
        <v>5735.8043909504458</v>
      </c>
      <c r="O224" s="94"/>
      <c r="P224" s="130">
        <f t="shared" si="206"/>
        <v>641.21964181851683</v>
      </c>
      <c r="Q224" s="94"/>
      <c r="R224" s="130">
        <f t="shared" si="207"/>
        <v>1385.2508717767116</v>
      </c>
      <c r="S224" s="94"/>
      <c r="T224" s="130">
        <f t="shared" si="208"/>
        <v>427.47976121234461</v>
      </c>
      <c r="U224" s="94"/>
      <c r="V224" s="130">
        <f t="shared" si="209"/>
        <v>760.26463861182799</v>
      </c>
      <c r="W224" s="94"/>
      <c r="X224" s="130">
        <f t="shared" si="210"/>
        <v>689.9198677794169</v>
      </c>
      <c r="Y224" s="94"/>
      <c r="Z224" s="94">
        <f t="shared" si="223"/>
        <v>0</v>
      </c>
      <c r="AC224" s="97" t="s">
        <v>549</v>
      </c>
      <c r="AE224" s="112">
        <f t="shared" si="221"/>
        <v>15</v>
      </c>
      <c r="AG224" s="550">
        <f t="shared" si="193"/>
        <v>27055.681089388898</v>
      </c>
      <c r="AH224" s="267"/>
      <c r="AI224" s="130">
        <f t="shared" si="211"/>
        <v>7250.9225319562247</v>
      </c>
      <c r="AJ224" s="94"/>
      <c r="AK224" s="130">
        <f t="shared" si="212"/>
        <v>4328.9089743022241</v>
      </c>
      <c r="AL224" s="94"/>
      <c r="AM224" s="130">
        <f t="shared" si="213"/>
        <v>2286.2050520533621</v>
      </c>
      <c r="AN224" s="94"/>
      <c r="AO224" s="130">
        <f t="shared" si="214"/>
        <v>4637.3437387212571</v>
      </c>
      <c r="AP224" s="94"/>
      <c r="AQ224" s="130">
        <f t="shared" si="215"/>
        <v>879.30963540513926</v>
      </c>
      <c r="AR224" s="94"/>
      <c r="AS224" s="130">
        <f t="shared" si="216"/>
        <v>4404.6648813525126</v>
      </c>
      <c r="AT224" s="94"/>
      <c r="AU224" s="130">
        <f t="shared" si="217"/>
        <v>1877.6642676035897</v>
      </c>
      <c r="AV224" s="94"/>
      <c r="AW224" s="130">
        <f t="shared" si="218"/>
        <v>700.74214021517241</v>
      </c>
      <c r="AX224" s="94"/>
      <c r="AY224" s="130">
        <f t="shared" si="219"/>
        <v>689.9198677794169</v>
      </c>
      <c r="BA224" s="82">
        <f t="shared" si="222"/>
        <v>0</v>
      </c>
      <c r="BB224" s="67"/>
      <c r="BC224" s="67"/>
      <c r="BD224" s="67"/>
    </row>
    <row r="225" spans="1:57" s="340" customFormat="1" x14ac:dyDescent="0.2">
      <c r="A225" s="513"/>
      <c r="B225" s="513"/>
      <c r="C225" s="516"/>
      <c r="D225" s="273"/>
      <c r="E225" s="94"/>
      <c r="F225" s="97" t="s">
        <v>550</v>
      </c>
      <c r="G225" s="55"/>
      <c r="H225" s="131">
        <v>15</v>
      </c>
      <c r="I225" s="97"/>
      <c r="J225" s="515">
        <v>270027.53070917318</v>
      </c>
      <c r="K225" s="267"/>
      <c r="L225" s="130">
        <f t="shared" si="204"/>
        <v>173816.72151749479</v>
      </c>
      <c r="M225" s="94"/>
      <c r="N225" s="130">
        <f t="shared" si="205"/>
        <v>57245.836510344714</v>
      </c>
      <c r="O225" s="94"/>
      <c r="P225" s="130">
        <f t="shared" si="206"/>
        <v>6399.6524778074045</v>
      </c>
      <c r="Q225" s="94"/>
      <c r="R225" s="130">
        <f t="shared" si="207"/>
        <v>13825.409572309667</v>
      </c>
      <c r="S225" s="94"/>
      <c r="T225" s="130">
        <f t="shared" si="208"/>
        <v>4266.4349852049363</v>
      </c>
      <c r="U225" s="94"/>
      <c r="V225" s="130">
        <f t="shared" si="209"/>
        <v>7587.7736129277664</v>
      </c>
      <c r="W225" s="94"/>
      <c r="X225" s="130">
        <f t="shared" si="210"/>
        <v>6885.7020330839159</v>
      </c>
      <c r="Y225" s="94"/>
      <c r="Z225" s="94">
        <f t="shared" si="223"/>
        <v>0</v>
      </c>
      <c r="AC225" s="97" t="s">
        <v>550</v>
      </c>
      <c r="AE225" s="112">
        <f t="shared" si="221"/>
        <v>15</v>
      </c>
      <c r="AG225" s="550">
        <f t="shared" si="193"/>
        <v>270027.53070917318</v>
      </c>
      <c r="AH225" s="267"/>
      <c r="AI225" s="130">
        <f t="shared" si="211"/>
        <v>72367.378230058413</v>
      </c>
      <c r="AJ225" s="94"/>
      <c r="AK225" s="130">
        <f t="shared" si="212"/>
        <v>43204.404913467712</v>
      </c>
      <c r="AL225" s="94"/>
      <c r="AM225" s="130">
        <f t="shared" si="213"/>
        <v>22817.326344925135</v>
      </c>
      <c r="AN225" s="94"/>
      <c r="AO225" s="130">
        <f t="shared" si="214"/>
        <v>46282.718763552286</v>
      </c>
      <c r="AP225" s="94"/>
      <c r="AQ225" s="130">
        <f t="shared" si="215"/>
        <v>8775.8947480481293</v>
      </c>
      <c r="AR225" s="94"/>
      <c r="AS225" s="130">
        <f t="shared" si="216"/>
        <v>43960.481999453397</v>
      </c>
      <c r="AT225" s="94"/>
      <c r="AU225" s="130">
        <f t="shared" si="217"/>
        <v>18739.910631216619</v>
      </c>
      <c r="AV225" s="94"/>
      <c r="AW225" s="130">
        <f t="shared" si="218"/>
        <v>6993.7130453675854</v>
      </c>
      <c r="AX225" s="94"/>
      <c r="AY225" s="130">
        <f t="shared" si="219"/>
        <v>6885.7020330839159</v>
      </c>
      <c r="BA225" s="82">
        <f t="shared" si="222"/>
        <v>0</v>
      </c>
      <c r="BB225" s="67"/>
      <c r="BC225" s="67"/>
      <c r="BD225" s="67"/>
    </row>
    <row r="226" spans="1:57" s="340" customFormat="1" x14ac:dyDescent="0.2">
      <c r="A226" s="513"/>
      <c r="B226" s="513"/>
      <c r="C226" s="516"/>
      <c r="D226" s="273"/>
      <c r="E226" s="94"/>
      <c r="F226" s="97" t="s">
        <v>551</v>
      </c>
      <c r="G226" s="55"/>
      <c r="H226" s="131">
        <v>15</v>
      </c>
      <c r="I226" s="97"/>
      <c r="J226" s="515">
        <v>14863.492259000001</v>
      </c>
      <c r="K226" s="267"/>
      <c r="L226" s="130">
        <f t="shared" si="204"/>
        <v>9567.6299671183006</v>
      </c>
      <c r="M226" s="94"/>
      <c r="N226" s="130">
        <f t="shared" si="205"/>
        <v>3151.0603589080001</v>
      </c>
      <c r="O226" s="94"/>
      <c r="P226" s="130">
        <f t="shared" si="206"/>
        <v>352.26476653830002</v>
      </c>
      <c r="Q226" s="94"/>
      <c r="R226" s="130">
        <f t="shared" si="207"/>
        <v>761.01080366080009</v>
      </c>
      <c r="S226" s="94"/>
      <c r="T226" s="130">
        <f t="shared" si="208"/>
        <v>234.84317769220004</v>
      </c>
      <c r="U226" s="94"/>
      <c r="V226" s="130">
        <f t="shared" si="209"/>
        <v>417.66413247790001</v>
      </c>
      <c r="W226" s="94"/>
      <c r="X226" s="130">
        <f t="shared" si="210"/>
        <v>379.01905260449996</v>
      </c>
      <c r="Y226" s="94"/>
      <c r="Z226" s="94">
        <f t="shared" si="223"/>
        <v>0</v>
      </c>
      <c r="AC226" s="97" t="s">
        <v>551</v>
      </c>
      <c r="AE226" s="112">
        <f t="shared" si="221"/>
        <v>15</v>
      </c>
      <c r="AG226" s="550">
        <f t="shared" si="193"/>
        <v>14863.492259000001</v>
      </c>
      <c r="AH226" s="267"/>
      <c r="AI226" s="267">
        <f t="shared" si="211"/>
        <v>3983.4159254120004</v>
      </c>
      <c r="AJ226" s="265"/>
      <c r="AK226" s="267">
        <f t="shared" si="212"/>
        <v>2378.15876144</v>
      </c>
      <c r="AL226" s="265"/>
      <c r="AM226" s="267">
        <f t="shared" si="213"/>
        <v>1255.9650958855002</v>
      </c>
      <c r="AN226" s="265"/>
      <c r="AO226" s="267">
        <f t="shared" si="214"/>
        <v>2547.6025731926002</v>
      </c>
      <c r="AP226" s="265"/>
      <c r="AQ226" s="267">
        <f t="shared" si="215"/>
        <v>483.06349841750006</v>
      </c>
      <c r="AR226" s="265"/>
      <c r="AS226" s="267">
        <f t="shared" si="216"/>
        <v>2419.7765397652001</v>
      </c>
      <c r="AT226" s="265"/>
      <c r="AU226" s="267">
        <f t="shared" si="217"/>
        <v>1031.5263627746001</v>
      </c>
      <c r="AV226" s="265"/>
      <c r="AW226" s="267">
        <f t="shared" si="218"/>
        <v>384.96444950810002</v>
      </c>
      <c r="AX226" s="265"/>
      <c r="AY226" s="267">
        <f t="shared" si="219"/>
        <v>379.01905260449996</v>
      </c>
      <c r="AZ226" s="68"/>
      <c r="BA226" s="526">
        <f t="shared" si="222"/>
        <v>0</v>
      </c>
      <c r="BB226" s="216"/>
      <c r="BC226" s="216"/>
      <c r="BD226" s="216"/>
      <c r="BE226" s="68"/>
    </row>
    <row r="227" spans="1:57" s="340" customFormat="1" ht="15" customHeight="1" x14ac:dyDescent="0.2">
      <c r="A227" s="513"/>
      <c r="B227" s="513"/>
      <c r="C227" s="516"/>
      <c r="D227" s="273"/>
      <c r="E227" s="94"/>
      <c r="F227" s="97" t="s">
        <v>473</v>
      </c>
      <c r="G227" s="55"/>
      <c r="H227" s="131">
        <v>15</v>
      </c>
      <c r="I227" s="97"/>
      <c r="J227" s="515">
        <v>272325.56193283969</v>
      </c>
      <c r="K227" s="267"/>
      <c r="L227" s="130">
        <f t="shared" si="204"/>
        <v>175295.96421616891</v>
      </c>
      <c r="M227" s="94"/>
      <c r="N227" s="130">
        <f t="shared" si="205"/>
        <v>57733.019129762011</v>
      </c>
      <c r="O227" s="94"/>
      <c r="P227" s="130">
        <f t="shared" si="206"/>
        <v>6454.1158178083006</v>
      </c>
      <c r="Q227" s="94"/>
      <c r="R227" s="130">
        <f t="shared" si="207"/>
        <v>13943.068770961392</v>
      </c>
      <c r="S227" s="94"/>
      <c r="T227" s="130">
        <f t="shared" si="208"/>
        <v>4302.7438785388676</v>
      </c>
      <c r="U227" s="94"/>
      <c r="V227" s="130">
        <f t="shared" si="209"/>
        <v>7652.3482903127951</v>
      </c>
      <c r="W227" s="94"/>
      <c r="X227" s="130">
        <f t="shared" si="210"/>
        <v>6944.3018292874112</v>
      </c>
      <c r="Y227" s="94"/>
      <c r="Z227" s="94">
        <f t="shared" si="223"/>
        <v>0</v>
      </c>
      <c r="AC227" s="97" t="s">
        <v>473</v>
      </c>
      <c r="AE227" s="112">
        <f t="shared" si="221"/>
        <v>15</v>
      </c>
      <c r="AG227" s="550">
        <f t="shared" si="193"/>
        <v>272325.56193283969</v>
      </c>
      <c r="AH227" s="267"/>
      <c r="AI227" s="267">
        <f t="shared" si="211"/>
        <v>72983.250598001046</v>
      </c>
      <c r="AJ227" s="265"/>
      <c r="AK227" s="267">
        <f t="shared" si="212"/>
        <v>43572.089909254348</v>
      </c>
      <c r="AL227" s="265"/>
      <c r="AM227" s="267">
        <f t="shared" si="213"/>
        <v>23011.509983324955</v>
      </c>
      <c r="AN227" s="265"/>
      <c r="AO227" s="267">
        <f t="shared" si="214"/>
        <v>46676.601315288724</v>
      </c>
      <c r="AP227" s="265"/>
      <c r="AQ227" s="267">
        <f t="shared" si="215"/>
        <v>8850.5807628172897</v>
      </c>
      <c r="AR227" s="265"/>
      <c r="AS227" s="267">
        <f t="shared" si="216"/>
        <v>44334.601482666301</v>
      </c>
      <c r="AT227" s="265"/>
      <c r="AU227" s="267">
        <f t="shared" si="217"/>
        <v>18899.393998139076</v>
      </c>
      <c r="AV227" s="265"/>
      <c r="AW227" s="267">
        <f t="shared" si="218"/>
        <v>7053.2320540605479</v>
      </c>
      <c r="AX227" s="265"/>
      <c r="AY227" s="267">
        <f t="shared" si="219"/>
        <v>6944.3018292874112</v>
      </c>
      <c r="AZ227" s="68"/>
      <c r="BA227" s="526">
        <f t="shared" si="222"/>
        <v>0</v>
      </c>
      <c r="BB227" s="216"/>
      <c r="BC227" s="216"/>
      <c r="BD227" s="216"/>
      <c r="BE227" s="68"/>
    </row>
    <row r="228" spans="1:57" s="68" customFormat="1" x14ac:dyDescent="0.2">
      <c r="A228" s="514"/>
      <c r="B228" s="514"/>
      <c r="C228" s="516"/>
      <c r="D228" s="273"/>
      <c r="E228" s="94"/>
      <c r="F228" s="97" t="s">
        <v>474</v>
      </c>
      <c r="G228" s="55"/>
      <c r="H228" s="131">
        <v>15</v>
      </c>
      <c r="I228" s="215"/>
      <c r="J228" s="515">
        <v>9669.1573055555637</v>
      </c>
      <c r="K228" s="267"/>
      <c r="L228" s="267">
        <f t="shared" si="204"/>
        <v>6224.0365575861169</v>
      </c>
      <c r="M228" s="267"/>
      <c r="N228" s="267">
        <f t="shared" si="205"/>
        <v>2049.8613487777793</v>
      </c>
      <c r="O228" s="267"/>
      <c r="P228" s="267">
        <f t="shared" si="206"/>
        <v>229.15902814166685</v>
      </c>
      <c r="Q228" s="267"/>
      <c r="R228" s="267">
        <f t="shared" si="207"/>
        <v>495.06085404444491</v>
      </c>
      <c r="S228" s="267"/>
      <c r="T228" s="267">
        <f t="shared" si="208"/>
        <v>152.77268542777793</v>
      </c>
      <c r="U228" s="267"/>
      <c r="V228" s="267">
        <f t="shared" si="209"/>
        <v>271.70332028611136</v>
      </c>
      <c r="W228" s="267"/>
      <c r="X228" s="267">
        <f t="shared" si="210"/>
        <v>246.56351129166686</v>
      </c>
      <c r="Y228" s="94"/>
      <c r="Z228" s="94">
        <f t="shared" si="223"/>
        <v>0</v>
      </c>
      <c r="AC228" s="97" t="s">
        <v>474</v>
      </c>
      <c r="AE228" s="112">
        <f t="shared" si="192"/>
        <v>15</v>
      </c>
      <c r="AF228" s="340"/>
      <c r="AG228" s="550">
        <f t="shared" si="193"/>
        <v>9669.1573055555637</v>
      </c>
      <c r="AH228" s="267"/>
      <c r="AI228" s="267">
        <f t="shared" si="211"/>
        <v>2591.3341578888912</v>
      </c>
      <c r="AJ228" s="267"/>
      <c r="AK228" s="267">
        <f t="shared" si="212"/>
        <v>1547.0651688888902</v>
      </c>
      <c r="AL228" s="267"/>
      <c r="AM228" s="267">
        <f t="shared" si="213"/>
        <v>817.04379231944517</v>
      </c>
      <c r="AN228" s="267"/>
      <c r="AO228" s="267">
        <f t="shared" si="214"/>
        <v>1657.2935621722236</v>
      </c>
      <c r="AP228" s="267"/>
      <c r="AQ228" s="267">
        <f t="shared" si="215"/>
        <v>314.24761243055582</v>
      </c>
      <c r="AR228" s="267"/>
      <c r="AS228" s="267">
        <f t="shared" si="216"/>
        <v>1574.1388093444457</v>
      </c>
      <c r="AT228" s="267"/>
      <c r="AU228" s="267">
        <f t="shared" si="217"/>
        <v>671.03951700555615</v>
      </c>
      <c r="AV228" s="267"/>
      <c r="AW228" s="267">
        <f t="shared" si="218"/>
        <v>250.43117421388908</v>
      </c>
      <c r="AX228" s="267"/>
      <c r="AY228" s="267">
        <f t="shared" si="219"/>
        <v>246.56351129166686</v>
      </c>
      <c r="BA228" s="526">
        <f t="shared" ref="BA228:BA254" si="229">SUM(AI228:AY228)-AG228</f>
        <v>0</v>
      </c>
      <c r="BB228" s="216"/>
      <c r="BC228" s="216"/>
      <c r="BD228" s="216"/>
    </row>
    <row r="229" spans="1:57" s="68" customFormat="1" x14ac:dyDescent="0.2">
      <c r="A229" s="514"/>
      <c r="B229" s="514"/>
      <c r="C229" s="516"/>
      <c r="D229" s="273"/>
      <c r="E229" s="94"/>
      <c r="F229" s="97" t="s">
        <v>648</v>
      </c>
      <c r="G229" s="55"/>
      <c r="H229" s="131">
        <v>17</v>
      </c>
      <c r="I229" s="215"/>
      <c r="J229" s="553">
        <v>52347.713518781602</v>
      </c>
      <c r="K229" s="267"/>
      <c r="L229" s="506">
        <f t="shared" si="204"/>
        <v>26482.708269151612</v>
      </c>
      <c r="M229" s="267"/>
      <c r="N229" s="506">
        <f t="shared" si="205"/>
        <v>14437.499388479966</v>
      </c>
      <c r="O229" s="267"/>
      <c r="P229" s="506">
        <f t="shared" si="206"/>
        <v>1523.3184633965448</v>
      </c>
      <c r="Q229" s="267"/>
      <c r="R229" s="506">
        <f t="shared" si="207"/>
        <v>3805.6787728154227</v>
      </c>
      <c r="S229" s="267"/>
      <c r="T229" s="506">
        <f t="shared" si="208"/>
        <v>1015.5456422643631</v>
      </c>
      <c r="U229" s="267"/>
      <c r="V229" s="506">
        <f t="shared" si="209"/>
        <v>1711.7702320641583</v>
      </c>
      <c r="W229" s="267"/>
      <c r="X229" s="506">
        <f t="shared" si="210"/>
        <v>3371.1927506095353</v>
      </c>
      <c r="Y229" s="94"/>
      <c r="Z229" s="94"/>
      <c r="AC229" s="97"/>
      <c r="AE229" s="112">
        <f t="shared" si="192"/>
        <v>17</v>
      </c>
      <c r="AF229" s="340"/>
      <c r="AG229" s="550">
        <f t="shared" si="193"/>
        <v>52347.713518781602</v>
      </c>
      <c r="AH229" s="267"/>
      <c r="AI229" s="506">
        <f t="shared" si="211"/>
        <v>21352.632344311016</v>
      </c>
      <c r="AJ229" s="267"/>
      <c r="AK229" s="506">
        <f t="shared" si="212"/>
        <v>12286.008362858041</v>
      </c>
      <c r="AL229" s="267"/>
      <c r="AM229" s="506">
        <f t="shared" si="213"/>
        <v>7522.3664326489161</v>
      </c>
      <c r="AN229" s="267"/>
      <c r="AO229" s="506">
        <f t="shared" si="214"/>
        <v>4135.4693679837465</v>
      </c>
      <c r="AP229" s="267"/>
      <c r="AQ229" s="506">
        <f t="shared" si="215"/>
        <v>973.66747144933777</v>
      </c>
      <c r="AR229" s="267"/>
      <c r="AS229" s="506">
        <f t="shared" si="216"/>
        <v>769.51138872608954</v>
      </c>
      <c r="AT229" s="267"/>
      <c r="AU229" s="506">
        <f t="shared" si="217"/>
        <v>272.20811029766429</v>
      </c>
      <c r="AV229" s="267"/>
      <c r="AW229" s="506">
        <f t="shared" si="218"/>
        <v>1685.5963753047677</v>
      </c>
      <c r="AX229" s="267"/>
      <c r="AY229" s="506">
        <f t="shared" si="219"/>
        <v>3350.2536652020226</v>
      </c>
      <c r="AZ229" s="340"/>
      <c r="BA229" s="82">
        <f t="shared" ref="BA229" si="230">SUM(AI229:AY229)-AG229</f>
        <v>0</v>
      </c>
      <c r="BB229" s="67"/>
      <c r="BC229" s="67"/>
      <c r="BD229" s="67"/>
    </row>
    <row r="230" spans="1:57" s="68" customFormat="1" x14ac:dyDescent="0.2">
      <c r="A230" s="514"/>
      <c r="B230" s="515"/>
      <c r="C230" s="516"/>
      <c r="D230" s="273"/>
      <c r="E230" s="94"/>
      <c r="F230" s="97"/>
      <c r="G230" s="55"/>
      <c r="H230" s="131"/>
      <c r="I230" s="215"/>
      <c r="J230" s="653"/>
      <c r="K230" s="653"/>
      <c r="L230" s="653"/>
      <c r="M230" s="653"/>
      <c r="N230" s="653"/>
      <c r="O230" s="653"/>
      <c r="P230" s="653"/>
      <c r="Q230" s="653"/>
      <c r="R230" s="653"/>
      <c r="S230" s="653"/>
      <c r="T230" s="653"/>
      <c r="U230" s="653"/>
      <c r="V230" s="653"/>
      <c r="W230" s="653"/>
      <c r="X230" s="267"/>
      <c r="Z230" s="94">
        <f t="shared" si="223"/>
        <v>0</v>
      </c>
      <c r="AC230" s="97"/>
      <c r="AE230" s="280"/>
      <c r="AG230" s="267"/>
      <c r="AH230" s="267"/>
      <c r="AI230" s="267"/>
      <c r="AJ230" s="267"/>
      <c r="AK230" s="267"/>
      <c r="AL230" s="267"/>
      <c r="AM230" s="267"/>
      <c r="AN230" s="267"/>
      <c r="AO230" s="267"/>
      <c r="AP230" s="267"/>
      <c r="AQ230" s="267"/>
      <c r="AR230" s="267"/>
      <c r="AS230" s="267"/>
      <c r="AT230" s="267"/>
      <c r="AU230" s="267"/>
      <c r="AV230" s="267"/>
      <c r="AW230" s="267"/>
      <c r="AX230" s="267"/>
      <c r="AY230" s="267"/>
      <c r="BA230" s="82">
        <f t="shared" si="229"/>
        <v>0</v>
      </c>
      <c r="BB230" s="67"/>
      <c r="BC230" s="67"/>
      <c r="BD230" s="67"/>
    </row>
    <row r="231" spans="1:57" s="68" customFormat="1" x14ac:dyDescent="0.2">
      <c r="A231" s="514"/>
      <c r="B231" s="515"/>
      <c r="C231" s="516"/>
      <c r="D231" s="273"/>
      <c r="E231" s="94"/>
      <c r="F231" s="97" t="s">
        <v>55</v>
      </c>
      <c r="G231" s="55"/>
      <c r="H231" s="131"/>
      <c r="I231" s="215"/>
      <c r="J231" s="653">
        <f t="shared" ref="J231" si="231">SUM(J169:J230)</f>
        <v>18383403.419117447</v>
      </c>
      <c r="K231" s="653"/>
      <c r="L231" s="653">
        <f>SUM(L169:L230)</f>
        <v>10431259.306651892</v>
      </c>
      <c r="M231" s="653"/>
      <c r="N231" s="653">
        <f>SUM(N169:N230)</f>
        <v>4553281.3958420502</v>
      </c>
      <c r="O231" s="653"/>
      <c r="P231" s="653">
        <f>SUM(P169:P230)</f>
        <v>504900.29757886915</v>
      </c>
      <c r="Q231" s="653"/>
      <c r="R231" s="653">
        <f>SUM(R169:R230)</f>
        <v>1177068.3862993687</v>
      </c>
      <c r="S231" s="653"/>
      <c r="T231" s="653">
        <f>SUM(T169:T230)</f>
        <v>338776.6942010941</v>
      </c>
      <c r="U231" s="653"/>
      <c r="V231" s="653">
        <f>SUM(V169:V230)</f>
        <v>489079.46991640737</v>
      </c>
      <c r="W231" s="653"/>
      <c r="X231" s="267">
        <f>SUM(X169:X230)</f>
        <v>889037.86862775485</v>
      </c>
      <c r="Z231" s="94">
        <f t="shared" si="223"/>
        <v>0</v>
      </c>
      <c r="AC231" s="97" t="s">
        <v>55</v>
      </c>
      <c r="AD231" s="55"/>
      <c r="AE231" s="131"/>
      <c r="AF231" s="215"/>
      <c r="AG231" s="267">
        <f>SUM(AG169:AG230)</f>
        <v>18383403.419117447</v>
      </c>
      <c r="AH231" s="267"/>
      <c r="AI231" s="267">
        <f>SUM(AI169:AI230)</f>
        <v>6448664.1423806064</v>
      </c>
      <c r="AJ231" s="267"/>
      <c r="AK231" s="267">
        <f>SUM(AK169:AK230)</f>
        <v>4031027.6845154166</v>
      </c>
      <c r="AL231" s="267"/>
      <c r="AM231" s="267">
        <f>SUM(AM169:AM230)</f>
        <v>1640281.4954818373</v>
      </c>
      <c r="AN231" s="267"/>
      <c r="AO231" s="267">
        <f>SUM(AO169:AO230)</f>
        <v>2690532.3601858052</v>
      </c>
      <c r="AP231" s="267"/>
      <c r="AQ231" s="267">
        <f>SUM(AQ169:AQ230)</f>
        <v>922003.64089762454</v>
      </c>
      <c r="AR231" s="267"/>
      <c r="AS231" s="267">
        <f>SUM(AS169:AS230)</f>
        <v>936087.29625002178</v>
      </c>
      <c r="AT231" s="267"/>
      <c r="AU231" s="267">
        <f>SUM(AU169:AU230)</f>
        <v>355998.80359561555</v>
      </c>
      <c r="AV231" s="267"/>
      <c r="AW231" s="267">
        <f t="shared" ref="AW231" si="232">SUM(AW169:AW230)</f>
        <v>473902.58138308208</v>
      </c>
      <c r="AX231" s="267"/>
      <c r="AY231" s="267">
        <f t="shared" ref="AY231" si="233">SUM(AY169:AY230)</f>
        <v>884905.41442743235</v>
      </c>
      <c r="BA231" s="82">
        <f t="shared" si="229"/>
        <v>0</v>
      </c>
      <c r="BB231" s="67"/>
      <c r="BC231" s="67"/>
      <c r="BD231" s="67"/>
    </row>
    <row r="232" spans="1:57" s="340" customFormat="1" ht="7.9" customHeight="1" x14ac:dyDescent="0.2">
      <c r="A232" s="513"/>
      <c r="B232" s="513"/>
      <c r="C232" s="516"/>
      <c r="D232" s="273"/>
      <c r="E232" s="94"/>
      <c r="F232" s="97"/>
      <c r="G232" s="55"/>
      <c r="H232" s="131"/>
      <c r="I232" s="97"/>
      <c r="J232" s="267"/>
      <c r="K232" s="267"/>
      <c r="L232" s="267"/>
      <c r="M232" s="265"/>
      <c r="N232" s="267"/>
      <c r="O232" s="265"/>
      <c r="P232" s="267"/>
      <c r="Q232" s="265"/>
      <c r="R232" s="267"/>
      <c r="S232" s="265"/>
      <c r="T232" s="267"/>
      <c r="U232" s="265"/>
      <c r="V232" s="267"/>
      <c r="W232" s="265"/>
      <c r="X232" s="267"/>
      <c r="Z232" s="94">
        <f t="shared" si="223"/>
        <v>0</v>
      </c>
      <c r="AC232" s="97"/>
      <c r="AG232" s="267"/>
      <c r="AH232" s="267"/>
      <c r="AI232" s="267"/>
      <c r="AJ232" s="265"/>
      <c r="AK232" s="267"/>
      <c r="AL232" s="265"/>
      <c r="AM232" s="267"/>
      <c r="AN232" s="265"/>
      <c r="AO232" s="267"/>
      <c r="AP232" s="265"/>
      <c r="AQ232" s="267"/>
      <c r="AR232" s="265"/>
      <c r="AS232" s="267"/>
      <c r="AT232" s="265"/>
      <c r="AU232" s="267"/>
      <c r="AV232" s="265"/>
      <c r="AW232" s="267"/>
      <c r="AX232" s="265"/>
      <c r="AY232" s="267"/>
      <c r="BA232" s="82">
        <f t="shared" si="229"/>
        <v>0</v>
      </c>
      <c r="BB232" s="67"/>
      <c r="BC232" s="67"/>
      <c r="BD232" s="67"/>
    </row>
    <row r="233" spans="1:57" s="340" customFormat="1" x14ac:dyDescent="0.2">
      <c r="A233" s="513"/>
      <c r="B233" s="682"/>
      <c r="C233" s="516"/>
      <c r="D233" s="273"/>
      <c r="E233" s="94"/>
      <c r="F233" s="218" t="s">
        <v>475</v>
      </c>
      <c r="G233" s="55"/>
      <c r="H233" s="131"/>
      <c r="I233" s="97"/>
      <c r="J233" s="267"/>
      <c r="K233" s="267"/>
      <c r="L233" s="267"/>
      <c r="M233" s="265"/>
      <c r="N233" s="267"/>
      <c r="O233" s="265"/>
      <c r="P233" s="267"/>
      <c r="Q233" s="265"/>
      <c r="R233" s="267"/>
      <c r="S233" s="265"/>
      <c r="T233" s="267"/>
      <c r="U233" s="265"/>
      <c r="V233" s="267"/>
      <c r="W233" s="265"/>
      <c r="X233" s="267"/>
      <c r="Z233" s="94">
        <f t="shared" si="223"/>
        <v>0</v>
      </c>
      <c r="AC233" s="218" t="s">
        <v>475</v>
      </c>
      <c r="AG233" s="267"/>
      <c r="AH233" s="267"/>
      <c r="AI233" s="267"/>
      <c r="AJ233" s="265"/>
      <c r="AK233" s="267"/>
      <c r="AL233" s="265"/>
      <c r="AM233" s="267"/>
      <c r="AN233" s="265"/>
      <c r="AO233" s="267"/>
      <c r="AP233" s="265"/>
      <c r="AQ233" s="267"/>
      <c r="AR233" s="265"/>
      <c r="AS233" s="267"/>
      <c r="AT233" s="265"/>
      <c r="AU233" s="267"/>
      <c r="AV233" s="265"/>
      <c r="AW233" s="267"/>
      <c r="AX233" s="265"/>
      <c r="AY233" s="267"/>
      <c r="BA233" s="82">
        <f t="shared" si="229"/>
        <v>0</v>
      </c>
      <c r="BB233" s="67"/>
      <c r="BC233" s="67"/>
      <c r="BD233" s="67"/>
    </row>
    <row r="234" spans="1:57" s="340" customFormat="1" x14ac:dyDescent="0.2">
      <c r="A234" s="514"/>
      <c r="B234" s="686"/>
      <c r="C234" s="516"/>
      <c r="D234" s="273"/>
      <c r="E234" s="94"/>
      <c r="F234" s="97" t="s">
        <v>650</v>
      </c>
      <c r="G234" s="55"/>
      <c r="H234" s="131">
        <v>18</v>
      </c>
      <c r="I234" s="97"/>
      <c r="J234" s="550">
        <v>24566.75499999999</v>
      </c>
      <c r="K234" s="267"/>
      <c r="L234" s="130">
        <f>(VLOOKUP($H234,Factors,L$378))*$J234</f>
        <v>12455.344784999996</v>
      </c>
      <c r="M234" s="94"/>
      <c r="N234" s="130">
        <f>(VLOOKUP($H234,Factors,N$378))*$J234</f>
        <v>6763.2276514999967</v>
      </c>
      <c r="O234" s="94"/>
      <c r="P234" s="130">
        <f>(VLOOKUP($H234,Factors,P$378))*$J234</f>
        <v>714.89257049999969</v>
      </c>
      <c r="Q234" s="94"/>
      <c r="R234" s="130">
        <f>(VLOOKUP($H234,Factors,R$378))*$J234</f>
        <v>1783.5464129999991</v>
      </c>
      <c r="S234" s="94"/>
      <c r="T234" s="130">
        <f>(VLOOKUP($H234,Factors,T$378))*$J234</f>
        <v>476.59504699999979</v>
      </c>
      <c r="U234" s="94"/>
      <c r="V234" s="130">
        <f>(VLOOKUP($H234,Factors,V$378))*$J234</f>
        <v>800.87621299999955</v>
      </c>
      <c r="W234" s="94"/>
      <c r="X234" s="130">
        <f>(VLOOKUP($H234,Factors,X$378))*$J234</f>
        <v>1572.2723199999994</v>
      </c>
      <c r="Y234" s="94"/>
      <c r="Z234" s="94">
        <f t="shared" si="223"/>
        <v>0</v>
      </c>
      <c r="AC234" s="97" t="s">
        <v>59</v>
      </c>
      <c r="AE234" s="112">
        <f>+H234</f>
        <v>18</v>
      </c>
      <c r="AG234" s="550">
        <f>+J234</f>
        <v>24566.75499999999</v>
      </c>
      <c r="AH234" s="267"/>
      <c r="AI234" s="130">
        <f>(VLOOKUP($AE234,func,AI$378))*$AG234</f>
        <v>10023.236039999996</v>
      </c>
      <c r="AJ234" s="94"/>
      <c r="AK234" s="130">
        <f>(VLOOKUP($AE234,func,AK$378))*$AG234</f>
        <v>5738.7939679999981</v>
      </c>
      <c r="AL234" s="94"/>
      <c r="AM234" s="130">
        <f>(VLOOKUP($AE234,func,AM$378))*$AG234</f>
        <v>3500.7625874999985</v>
      </c>
      <c r="AN234" s="94"/>
      <c r="AO234" s="130">
        <f>(VLOOKUP($AE234,func,AO$378))*$AG234</f>
        <v>1955.5136979999993</v>
      </c>
      <c r="AP234" s="94"/>
      <c r="AQ234" s="130">
        <f>(VLOOKUP($AE234,func,AQ$378))*$AG234</f>
        <v>459.39831849999985</v>
      </c>
      <c r="AR234" s="94"/>
      <c r="AS234" s="130">
        <f>(VLOOKUP($AE234,func,AS$378))*$AG234</f>
        <v>400.43810649999978</v>
      </c>
      <c r="AT234" s="94"/>
      <c r="AU234" s="130">
        <f>(VLOOKUP($AE234,func,AU$378))*$AG234</f>
        <v>142.48717899999994</v>
      </c>
      <c r="AV234" s="94"/>
      <c r="AW234" s="130">
        <f>(VLOOKUP($AE234,func,AW$378))*$AG234</f>
        <v>786.13615999999968</v>
      </c>
      <c r="AX234" s="94"/>
      <c r="AY234" s="130">
        <f>(VLOOKUP($AE234,func,AY$378))*$AG234</f>
        <v>1559.9889424999994</v>
      </c>
      <c r="BA234" s="82">
        <f t="shared" si="229"/>
        <v>0</v>
      </c>
      <c r="BB234" s="67"/>
      <c r="BC234" s="67"/>
      <c r="BD234" s="67"/>
    </row>
    <row r="235" spans="1:57" s="340" customFormat="1" x14ac:dyDescent="0.2">
      <c r="A235" s="514"/>
      <c r="B235" s="515"/>
      <c r="C235" s="516"/>
      <c r="D235" s="273"/>
      <c r="E235" s="94"/>
      <c r="F235" s="97" t="s">
        <v>651</v>
      </c>
      <c r="G235" s="55"/>
      <c r="H235" s="131">
        <v>18</v>
      </c>
      <c r="I235" s="97"/>
      <c r="J235" s="550">
        <v>263437.74</v>
      </c>
      <c r="K235" s="267"/>
      <c r="L235" s="130">
        <f>(VLOOKUP($H235,Factors,L$378))*$J235</f>
        <v>133562.93418000001</v>
      </c>
      <c r="M235" s="94"/>
      <c r="N235" s="130">
        <f>(VLOOKUP($H235,Factors,N$378))*$J235</f>
        <v>72524.409822000001</v>
      </c>
      <c r="O235" s="94"/>
      <c r="P235" s="130">
        <f>(VLOOKUP($H235,Factors,P$378))*$J235</f>
        <v>7666.0382339999996</v>
      </c>
      <c r="Q235" s="94"/>
      <c r="R235" s="130">
        <f>(VLOOKUP($H235,Factors,R$378))*$J235</f>
        <v>19125.579923999998</v>
      </c>
      <c r="S235" s="94"/>
      <c r="T235" s="130">
        <f>(VLOOKUP($H235,Factors,T$378))*$J235</f>
        <v>5110.6921560000001</v>
      </c>
      <c r="U235" s="94"/>
      <c r="V235" s="130">
        <f>(VLOOKUP($H235,Factors,V$378))*$J235</f>
        <v>8588.0703239999984</v>
      </c>
      <c r="W235" s="94"/>
      <c r="X235" s="130">
        <f>(VLOOKUP($H235,Factors,X$378))*$J235</f>
        <v>16860.015360000001</v>
      </c>
      <c r="Y235" s="94"/>
      <c r="Z235" s="94">
        <f t="shared" si="223"/>
        <v>0</v>
      </c>
      <c r="AC235" s="97" t="s">
        <v>60</v>
      </c>
      <c r="AE235" s="112">
        <f>+H235</f>
        <v>18</v>
      </c>
      <c r="AG235" s="550">
        <f>+J235</f>
        <v>263437.74</v>
      </c>
      <c r="AH235" s="267"/>
      <c r="AI235" s="130">
        <f>(VLOOKUP($AE235,func,AI$378))*$AG235</f>
        <v>107482.59791999999</v>
      </c>
      <c r="AJ235" s="94"/>
      <c r="AK235" s="130">
        <f>(VLOOKUP($AE235,func,AK$378))*$AG235</f>
        <v>61539.056063999997</v>
      </c>
      <c r="AL235" s="94"/>
      <c r="AM235" s="130">
        <f>(VLOOKUP($AE235,func,AM$378))*$AG235</f>
        <v>37539.877949999995</v>
      </c>
      <c r="AN235" s="94"/>
      <c r="AO235" s="130">
        <f>(VLOOKUP($AE235,func,AO$378))*$AG235</f>
        <v>20969.644103999999</v>
      </c>
      <c r="AP235" s="94"/>
      <c r="AQ235" s="130">
        <f>(VLOOKUP($AE235,func,AQ$378))*$AG235</f>
        <v>4926.2857380000005</v>
      </c>
      <c r="AR235" s="94"/>
      <c r="AS235" s="130">
        <f>(VLOOKUP($AE235,func,AS$378))*$AG235</f>
        <v>4294.0351619999992</v>
      </c>
      <c r="AT235" s="94"/>
      <c r="AU235" s="130">
        <f>(VLOOKUP($AE235,func,AU$378))*$AG235</f>
        <v>1527.9388919999999</v>
      </c>
      <c r="AV235" s="94"/>
      <c r="AW235" s="130">
        <f>(VLOOKUP($AE235,func,AW$378))*$AG235</f>
        <v>8430.0076800000006</v>
      </c>
      <c r="AX235" s="94"/>
      <c r="AY235" s="130">
        <f>(VLOOKUP($AE235,func,AY$378))*$AG235</f>
        <v>16728.296490000001</v>
      </c>
      <c r="BA235" s="82">
        <f t="shared" si="229"/>
        <v>0</v>
      </c>
      <c r="BB235" s="67"/>
      <c r="BC235" s="67"/>
      <c r="BD235" s="67"/>
    </row>
    <row r="236" spans="1:57" s="340" customFormat="1" x14ac:dyDescent="0.2">
      <c r="A236" s="514"/>
      <c r="B236" s="515"/>
      <c r="C236" s="516"/>
      <c r="D236" s="273"/>
      <c r="E236" s="94"/>
      <c r="F236" s="97"/>
      <c r="G236" s="55"/>
      <c r="H236" s="131"/>
      <c r="I236" s="97"/>
      <c r="J236" s="553"/>
      <c r="K236" s="267"/>
      <c r="L236" s="506"/>
      <c r="M236" s="267"/>
      <c r="N236" s="506"/>
      <c r="O236" s="267"/>
      <c r="P236" s="506"/>
      <c r="Q236" s="267"/>
      <c r="R236" s="506"/>
      <c r="S236" s="267"/>
      <c r="T236" s="506"/>
      <c r="U236" s="267"/>
      <c r="V236" s="506"/>
      <c r="W236" s="267"/>
      <c r="X236" s="506"/>
      <c r="Y236" s="94"/>
      <c r="Z236" s="94"/>
      <c r="AC236" s="97"/>
      <c r="AE236" s="112"/>
      <c r="AG236" s="553"/>
      <c r="AH236" s="267"/>
      <c r="AI236" s="506"/>
      <c r="AJ236" s="267"/>
      <c r="AK236" s="506"/>
      <c r="AL236" s="267"/>
      <c r="AM236" s="506"/>
      <c r="AN236" s="267"/>
      <c r="AO236" s="506"/>
      <c r="AP236" s="267"/>
      <c r="AQ236" s="506"/>
      <c r="AR236" s="267"/>
      <c r="AS236" s="506"/>
      <c r="AT236" s="267"/>
      <c r="AU236" s="506"/>
      <c r="AV236" s="267"/>
      <c r="AW236" s="506"/>
      <c r="AX236" s="267"/>
      <c r="AY236" s="506"/>
      <c r="BA236" s="82">
        <f t="shared" si="229"/>
        <v>0</v>
      </c>
      <c r="BB236" s="67"/>
      <c r="BC236" s="67"/>
      <c r="BD236" s="67"/>
    </row>
    <row r="237" spans="1:57" s="340" customFormat="1" x14ac:dyDescent="0.2">
      <c r="A237" s="514"/>
      <c r="B237" s="515"/>
      <c r="C237" s="516"/>
      <c r="D237" s="273"/>
      <c r="E237" s="94"/>
      <c r="F237" s="97"/>
      <c r="G237" s="55"/>
      <c r="H237" s="131"/>
      <c r="I237" s="97"/>
      <c r="J237" s="550"/>
      <c r="K237" s="267"/>
      <c r="L237" s="267"/>
      <c r="M237" s="267"/>
      <c r="N237" s="267"/>
      <c r="O237" s="267"/>
      <c r="P237" s="267"/>
      <c r="Q237" s="267"/>
      <c r="R237" s="267"/>
      <c r="S237" s="267"/>
      <c r="T237" s="267"/>
      <c r="U237" s="267"/>
      <c r="V237" s="267"/>
      <c r="W237" s="267"/>
      <c r="X237" s="267"/>
      <c r="Z237" s="94">
        <f t="shared" si="223"/>
        <v>0</v>
      </c>
      <c r="AC237" s="97"/>
      <c r="AE237" s="112"/>
      <c r="AG237" s="550"/>
      <c r="AH237" s="267"/>
      <c r="AI237" s="267"/>
      <c r="AJ237" s="267"/>
      <c r="AK237" s="267"/>
      <c r="AL237" s="267"/>
      <c r="AM237" s="267"/>
      <c r="AN237" s="267"/>
      <c r="AO237" s="267"/>
      <c r="AP237" s="267"/>
      <c r="AQ237" s="267"/>
      <c r="AR237" s="267"/>
      <c r="AS237" s="267"/>
      <c r="AT237" s="267"/>
      <c r="AU237" s="267"/>
      <c r="AV237" s="267"/>
      <c r="AW237" s="267"/>
      <c r="AX237" s="267"/>
      <c r="AY237" s="267"/>
      <c r="BA237" s="82">
        <f t="shared" si="229"/>
        <v>0</v>
      </c>
      <c r="BB237" s="67"/>
      <c r="BC237" s="67"/>
      <c r="BD237" s="67"/>
    </row>
    <row r="238" spans="1:57" s="340" customFormat="1" x14ac:dyDescent="0.2">
      <c r="A238" s="514"/>
      <c r="B238" s="515"/>
      <c r="C238" s="516"/>
      <c r="D238" s="273"/>
      <c r="E238" s="94"/>
      <c r="F238" s="97" t="s">
        <v>61</v>
      </c>
      <c r="G238" s="55"/>
      <c r="H238" s="131"/>
      <c r="I238" s="97"/>
      <c r="J238" s="550">
        <f>SUM(J234:J237)</f>
        <v>288004.495</v>
      </c>
      <c r="K238" s="130"/>
      <c r="L238" s="550">
        <f>SUM(L234:L237)</f>
        <v>146018.278965</v>
      </c>
      <c r="M238" s="130"/>
      <c r="N238" s="550">
        <f>SUM(N234:N237)</f>
        <v>79287.637473499999</v>
      </c>
      <c r="O238" s="130"/>
      <c r="P238" s="550">
        <f>SUM(P234:P237)</f>
        <v>8380.9308044999998</v>
      </c>
      <c r="Q238" s="130"/>
      <c r="R238" s="550">
        <f>SUM(R234:R237)</f>
        <v>20909.126336999998</v>
      </c>
      <c r="S238" s="130"/>
      <c r="T238" s="550">
        <f>SUM(T234:T237)</f>
        <v>5587.2872029999999</v>
      </c>
      <c r="U238" s="130"/>
      <c r="V238" s="550">
        <f>SUM(V234:V237)</f>
        <v>9388.946536999998</v>
      </c>
      <c r="W238" s="130"/>
      <c r="X238" s="550">
        <f>SUM(X234:X237)</f>
        <v>18432.287680000001</v>
      </c>
      <c r="Z238" s="94">
        <f t="shared" si="223"/>
        <v>0</v>
      </c>
      <c r="AC238" s="97" t="s">
        <v>61</v>
      </c>
      <c r="AE238" s="112"/>
      <c r="AG238" s="550">
        <f>SUM(AG234:AG237)</f>
        <v>288004.495</v>
      </c>
      <c r="AH238" s="130"/>
      <c r="AI238" s="550">
        <f>SUM(AI234:AI237)</f>
        <v>117505.83395999999</v>
      </c>
      <c r="AJ238" s="130"/>
      <c r="AK238" s="550">
        <f>SUM(AK234:AK237)</f>
        <v>67277.850031999988</v>
      </c>
      <c r="AL238" s="130"/>
      <c r="AM238" s="550">
        <f>SUM(AM234:AM237)</f>
        <v>41040.640537499996</v>
      </c>
      <c r="AN238" s="130"/>
      <c r="AO238" s="550">
        <f>SUM(AO234:AO237)</f>
        <v>22925.157801999998</v>
      </c>
      <c r="AP238" s="130"/>
      <c r="AQ238" s="550">
        <f>SUM(AQ234:AQ237)</f>
        <v>5385.6840565000002</v>
      </c>
      <c r="AR238" s="130"/>
      <c r="AS238" s="550">
        <f>SUM(AS234:AS237)</f>
        <v>4694.473268499999</v>
      </c>
      <c r="AT238" s="130"/>
      <c r="AU238" s="550">
        <f>SUM(AU234:AU237)</f>
        <v>1670.4260709999999</v>
      </c>
      <c r="AV238" s="130"/>
      <c r="AW238" s="550">
        <f>SUM(AW234:AW237)</f>
        <v>9216.1438400000006</v>
      </c>
      <c r="AX238" s="130"/>
      <c r="AY238" s="550">
        <f>SUM(AY234:AY237)</f>
        <v>18288.285432500001</v>
      </c>
      <c r="BA238" s="82">
        <f t="shared" si="229"/>
        <v>0</v>
      </c>
      <c r="BB238" s="67"/>
      <c r="BC238" s="67"/>
      <c r="BD238" s="67"/>
    </row>
    <row r="239" spans="1:57" s="340" customFormat="1" x14ac:dyDescent="0.2">
      <c r="A239" s="514"/>
      <c r="B239" s="515"/>
      <c r="C239" s="516"/>
      <c r="D239" s="273"/>
      <c r="E239" s="94"/>
      <c r="F239" s="97"/>
      <c r="G239" s="55"/>
      <c r="H239" s="131"/>
      <c r="I239" s="97"/>
      <c r="J239" s="550"/>
      <c r="K239" s="267"/>
      <c r="L239" s="267"/>
      <c r="M239" s="265"/>
      <c r="N239" s="267"/>
      <c r="O239" s="265"/>
      <c r="P239" s="267"/>
      <c r="Q239" s="265"/>
      <c r="R239" s="267"/>
      <c r="S239" s="265"/>
      <c r="T239" s="267"/>
      <c r="U239" s="265"/>
      <c r="V239" s="267"/>
      <c r="W239" s="265"/>
      <c r="X239" s="267"/>
      <c r="Z239" s="94">
        <f t="shared" si="223"/>
        <v>0</v>
      </c>
      <c r="AC239" s="97"/>
      <c r="AE239" s="112"/>
      <c r="AG239" s="550"/>
      <c r="AH239" s="267"/>
      <c r="AI239" s="267"/>
      <c r="AJ239" s="265"/>
      <c r="AK239" s="267"/>
      <c r="AL239" s="265"/>
      <c r="AM239" s="267"/>
      <c r="AN239" s="265"/>
      <c r="AO239" s="267"/>
      <c r="AP239" s="265"/>
      <c r="AQ239" s="267"/>
      <c r="AR239" s="265"/>
      <c r="AS239" s="267"/>
      <c r="AT239" s="265"/>
      <c r="AU239" s="267"/>
      <c r="AV239" s="265"/>
      <c r="AW239" s="267"/>
      <c r="AX239" s="265"/>
      <c r="AY239" s="267"/>
      <c r="BA239" s="82">
        <f t="shared" si="229"/>
        <v>0</v>
      </c>
      <c r="BB239" s="67"/>
      <c r="BC239" s="67"/>
      <c r="BD239" s="67"/>
    </row>
    <row r="240" spans="1:57" s="340" customFormat="1" x14ac:dyDescent="0.2">
      <c r="A240" s="514"/>
      <c r="B240" s="515"/>
      <c r="C240" s="516"/>
      <c r="D240" s="273"/>
      <c r="E240" s="94"/>
      <c r="F240" s="218" t="s">
        <v>476</v>
      </c>
      <c r="G240" s="55"/>
      <c r="H240" s="131"/>
      <c r="I240" s="97"/>
      <c r="J240" s="550"/>
      <c r="K240" s="267"/>
      <c r="L240" s="267"/>
      <c r="M240" s="265"/>
      <c r="N240" s="267"/>
      <c r="O240" s="265"/>
      <c r="P240" s="267"/>
      <c r="Q240" s="265"/>
      <c r="R240" s="267"/>
      <c r="S240" s="265"/>
      <c r="T240" s="267"/>
      <c r="U240" s="265"/>
      <c r="V240" s="267"/>
      <c r="W240" s="265"/>
      <c r="X240" s="267"/>
      <c r="Z240" s="94">
        <f t="shared" si="223"/>
        <v>0</v>
      </c>
      <c r="AC240" s="218" t="s">
        <v>476</v>
      </c>
      <c r="AE240" s="112"/>
      <c r="AG240" s="550"/>
      <c r="AH240" s="267"/>
      <c r="AI240" s="267"/>
      <c r="AJ240" s="265"/>
      <c r="AK240" s="267"/>
      <c r="AL240" s="265"/>
      <c r="AM240" s="267"/>
      <c r="AN240" s="265"/>
      <c r="AO240" s="267"/>
      <c r="AP240" s="265"/>
      <c r="AQ240" s="267"/>
      <c r="AR240" s="265"/>
      <c r="AS240" s="267"/>
      <c r="AT240" s="265"/>
      <c r="AU240" s="267"/>
      <c r="AV240" s="265"/>
      <c r="AW240" s="267"/>
      <c r="AX240" s="265"/>
      <c r="AY240" s="267"/>
      <c r="BA240" s="82">
        <f t="shared" si="229"/>
        <v>0</v>
      </c>
      <c r="BB240" s="67"/>
      <c r="BC240" s="67"/>
      <c r="BD240" s="67"/>
    </row>
    <row r="241" spans="1:56" s="340" customFormat="1" ht="14.25" customHeight="1" x14ac:dyDescent="0.2">
      <c r="A241" s="551"/>
      <c r="B241" s="517"/>
      <c r="C241" s="516"/>
      <c r="D241" s="273">
        <v>408.1</v>
      </c>
      <c r="E241" s="94"/>
      <c r="F241" s="97" t="s">
        <v>62</v>
      </c>
      <c r="G241" s="55"/>
      <c r="H241" s="131">
        <v>16</v>
      </c>
      <c r="I241" s="97"/>
      <c r="J241" s="550">
        <v>596010</v>
      </c>
      <c r="K241" s="267"/>
      <c r="L241" s="130">
        <f>(VLOOKUP($H241,Factors,L$378))*$J241</f>
        <v>366844.15500000003</v>
      </c>
      <c r="M241" s="94"/>
      <c r="N241" s="130">
        <f>(VLOOKUP($H241,Factors,N$378))*$J241</f>
        <v>141015.96600000001</v>
      </c>
      <c r="O241" s="94"/>
      <c r="P241" s="130">
        <f>(VLOOKUP($H241,Factors,P$378))*$J241</f>
        <v>16688.28</v>
      </c>
      <c r="Q241" s="94"/>
      <c r="R241" s="130">
        <f>(VLOOKUP($H241,Factors,R$378))*$J241</f>
        <v>36356.61</v>
      </c>
      <c r="S241" s="94"/>
      <c r="T241" s="130">
        <f>(VLOOKUP($H241,Factors,T$378))*$J241</f>
        <v>11204.988000000001</v>
      </c>
      <c r="U241" s="94"/>
      <c r="V241" s="130">
        <f>(VLOOKUP($H241,Factors,V$378))*$J241</f>
        <v>11502.993</v>
      </c>
      <c r="W241" s="94"/>
      <c r="X241" s="130">
        <f>(VLOOKUP($H241,Factors,X$378))*$J241</f>
        <v>12397.008</v>
      </c>
      <c r="Y241" s="94"/>
      <c r="Z241" s="94">
        <f t="shared" si="223"/>
        <v>0</v>
      </c>
      <c r="AC241" s="97" t="s">
        <v>62</v>
      </c>
      <c r="AE241" s="112">
        <f>+H241</f>
        <v>16</v>
      </c>
      <c r="AG241" s="550">
        <f>+J241</f>
        <v>596010</v>
      </c>
      <c r="AH241" s="267"/>
      <c r="AI241" s="130">
        <f>(VLOOKUP($AE241,func,AI$378))*$AG241</f>
        <v>194120.45699999999</v>
      </c>
      <c r="AJ241" s="94"/>
      <c r="AK241" s="130">
        <f>(VLOOKUP($AE241,func,AK$378))*$AG241</f>
        <v>129632.175</v>
      </c>
      <c r="AL241" s="94"/>
      <c r="AM241" s="130">
        <f>(VLOOKUP($AE241,func,AM$378))*$AG241</f>
        <v>33793.767</v>
      </c>
      <c r="AN241" s="94"/>
      <c r="AO241" s="130">
        <f>(VLOOKUP($AE241,func,AO$378))*$AG241</f>
        <v>133267.83600000001</v>
      </c>
      <c r="AP241" s="94"/>
      <c r="AQ241" s="130">
        <f>(VLOOKUP($AE241,func,AQ$378))*$AG241</f>
        <v>28191.273000000001</v>
      </c>
      <c r="AR241" s="94"/>
      <c r="AS241" s="130">
        <f>(VLOOKUP($AE241,func,AS$378))*$AG241</f>
        <v>58408.98</v>
      </c>
      <c r="AT241" s="94"/>
      <c r="AU241" s="130">
        <f>(VLOOKUP($AE241,func,AU$378))*$AG241</f>
        <v>-4887.2820000000002</v>
      </c>
      <c r="AV241" s="94"/>
      <c r="AW241" s="130">
        <f>(VLOOKUP($AE241,func,AW$378))*$AG241</f>
        <v>11085.785999999998</v>
      </c>
      <c r="AX241" s="94"/>
      <c r="AY241" s="130">
        <f>(VLOOKUP($AE241,func,AY$378))*$AG241</f>
        <v>12397.008</v>
      </c>
      <c r="BA241" s="82">
        <f t="shared" si="229"/>
        <v>0</v>
      </c>
      <c r="BB241" s="67"/>
      <c r="BC241" s="67"/>
      <c r="BD241" s="67"/>
    </row>
    <row r="242" spans="1:56" s="340" customFormat="1" ht="15" customHeight="1" x14ac:dyDescent="0.2">
      <c r="A242" s="551"/>
      <c r="B242" s="517"/>
      <c r="C242" s="516"/>
      <c r="D242" s="273">
        <v>408.1</v>
      </c>
      <c r="E242" s="94"/>
      <c r="F242" s="97" t="s">
        <v>63</v>
      </c>
      <c r="G242" s="55"/>
      <c r="H242" s="131">
        <v>18</v>
      </c>
      <c r="I242" s="97"/>
      <c r="J242" s="550">
        <v>7039679</v>
      </c>
      <c r="K242" s="267"/>
      <c r="L242" s="130">
        <f>(VLOOKUP($H242,Factors,L$378))*$J242</f>
        <v>3569117.253</v>
      </c>
      <c r="M242" s="94"/>
      <c r="N242" s="130">
        <f>(VLOOKUP($H242,Factors,N$378))*$J242</f>
        <v>1938023.6287</v>
      </c>
      <c r="O242" s="94"/>
      <c r="P242" s="130">
        <f>(VLOOKUP($H242,Factors,P$378))*$J242</f>
        <v>204854.65890000001</v>
      </c>
      <c r="Q242" s="94"/>
      <c r="R242" s="130">
        <f>(VLOOKUP($H242,Factors,R$378))*$J242</f>
        <v>511080.69539999997</v>
      </c>
      <c r="S242" s="94"/>
      <c r="T242" s="130">
        <f>(VLOOKUP($H242,Factors,T$378))*$J242</f>
        <v>136569.7726</v>
      </c>
      <c r="U242" s="94"/>
      <c r="V242" s="130">
        <f>(VLOOKUP($H242,Factors,V$378))*$J242</f>
        <v>229493.53539999999</v>
      </c>
      <c r="W242" s="94"/>
      <c r="X242" s="130">
        <f>(VLOOKUP($H242,Factors,X$378))*$J242</f>
        <v>450539.45600000001</v>
      </c>
      <c r="Y242" s="94"/>
      <c r="Z242" s="94">
        <f t="shared" si="223"/>
        <v>0</v>
      </c>
      <c r="AC242" s="97" t="s">
        <v>63</v>
      </c>
      <c r="AE242" s="112">
        <f t="shared" ref="AE242:AE245" si="234">+H242</f>
        <v>18</v>
      </c>
      <c r="AG242" s="550">
        <f t="shared" ref="AG242:AG245" si="235">+J242</f>
        <v>7039679</v>
      </c>
      <c r="AH242" s="267"/>
      <c r="AI242" s="130">
        <f>(VLOOKUP($AE242,func,AI$378))*$AG242</f>
        <v>2872189.0319999997</v>
      </c>
      <c r="AJ242" s="94"/>
      <c r="AK242" s="130">
        <f>(VLOOKUP($AE242,func,AK$378))*$AG242</f>
        <v>1644469.0144</v>
      </c>
      <c r="AL242" s="94"/>
      <c r="AM242" s="130">
        <f>(VLOOKUP($AE242,func,AM$378))*$AG242</f>
        <v>1003154.2574999999</v>
      </c>
      <c r="AN242" s="94"/>
      <c r="AO242" s="130">
        <f>(VLOOKUP($AE242,func,AO$378))*$AG242</f>
        <v>560358.44839999999</v>
      </c>
      <c r="AP242" s="94"/>
      <c r="AQ242" s="130">
        <f>(VLOOKUP($AE242,func,AQ$378))*$AG242</f>
        <v>131641.99730000002</v>
      </c>
      <c r="AR242" s="94"/>
      <c r="AS242" s="130">
        <f>(VLOOKUP($AE242,func,AS$378))*$AG242</f>
        <v>114746.7677</v>
      </c>
      <c r="AT242" s="94"/>
      <c r="AU242" s="130">
        <f>(VLOOKUP($AE242,func,AU$378))*$AG242</f>
        <v>40830.138199999994</v>
      </c>
      <c r="AV242" s="94"/>
      <c r="AW242" s="130">
        <f>(VLOOKUP($AE242,func,AW$378))*$AG242</f>
        <v>225269.728</v>
      </c>
      <c r="AX242" s="94"/>
      <c r="AY242" s="130">
        <f>(VLOOKUP($AE242,func,AY$378))*$AG242</f>
        <v>447019.6165</v>
      </c>
      <c r="BA242" s="82">
        <f t="shared" si="229"/>
        <v>0</v>
      </c>
      <c r="BB242" s="67"/>
      <c r="BC242" s="67"/>
      <c r="BD242" s="67"/>
    </row>
    <row r="243" spans="1:56" s="340" customFormat="1" ht="15" customHeight="1" x14ac:dyDescent="0.2">
      <c r="A243" s="551"/>
      <c r="B243" s="517"/>
      <c r="C243" s="516"/>
      <c r="D243" s="273">
        <v>408.1</v>
      </c>
      <c r="E243" s="94"/>
      <c r="F243" s="97" t="s">
        <v>580</v>
      </c>
      <c r="G243" s="55"/>
      <c r="H243" s="131">
        <v>18</v>
      </c>
      <c r="I243" s="97"/>
      <c r="J243" s="550">
        <v>10594</v>
      </c>
      <c r="K243" s="267"/>
      <c r="L243" s="130">
        <f>(VLOOKUP($H243,Factors,L$378))*$J243</f>
        <v>5371.1580000000004</v>
      </c>
      <c r="M243" s="94"/>
      <c r="N243" s="130">
        <f>(VLOOKUP($H243,Factors,N$378))*$J243</f>
        <v>2916.5281999999997</v>
      </c>
      <c r="O243" s="94"/>
      <c r="P243" s="130">
        <f>(VLOOKUP($H243,Factors,P$378))*$J243</f>
        <v>308.28539999999998</v>
      </c>
      <c r="Q243" s="94"/>
      <c r="R243" s="130">
        <f>(VLOOKUP($H243,Factors,R$378))*$J243</f>
        <v>769.12439999999992</v>
      </c>
      <c r="S243" s="94"/>
      <c r="T243" s="130">
        <f>(VLOOKUP($H243,Factors,T$378))*$J243</f>
        <v>205.52360000000002</v>
      </c>
      <c r="U243" s="94"/>
      <c r="V243" s="130">
        <f>(VLOOKUP($H243,Factors,V$378))*$J243</f>
        <v>345.36439999999999</v>
      </c>
      <c r="W243" s="94"/>
      <c r="X243" s="130">
        <f>(VLOOKUP($H243,Factors,X$378))*$J243</f>
        <v>678.01599999999996</v>
      </c>
      <c r="Y243" s="94"/>
      <c r="Z243" s="94">
        <f t="shared" si="223"/>
        <v>0</v>
      </c>
      <c r="AC243" s="97" t="s">
        <v>580</v>
      </c>
      <c r="AE243" s="112">
        <f t="shared" ref="AE243" si="236">+H243</f>
        <v>18</v>
      </c>
      <c r="AG243" s="550">
        <f t="shared" ref="AG243" si="237">+J243</f>
        <v>10594</v>
      </c>
      <c r="AH243" s="267"/>
      <c r="AI243" s="130">
        <f>(VLOOKUP($AE243,func,AI$378))*$AG243</f>
        <v>4322.3519999999999</v>
      </c>
      <c r="AJ243" s="94"/>
      <c r="AK243" s="130">
        <f>(VLOOKUP($AE243,func,AK$378))*$AG243</f>
        <v>2474.7584000000002</v>
      </c>
      <c r="AL243" s="94"/>
      <c r="AM243" s="130">
        <f>(VLOOKUP($AE243,func,AM$378))*$AG243</f>
        <v>1509.645</v>
      </c>
      <c r="AN243" s="94"/>
      <c r="AO243" s="130">
        <f>(VLOOKUP($AE243,func,AO$378))*$AG243</f>
        <v>843.28240000000005</v>
      </c>
      <c r="AP243" s="94"/>
      <c r="AQ243" s="130">
        <f>(VLOOKUP($AE243,func,AQ$378))*$AG243</f>
        <v>198.10780000000003</v>
      </c>
      <c r="AR243" s="94"/>
      <c r="AS243" s="130">
        <f>(VLOOKUP($AE243,func,AS$378))*$AG243</f>
        <v>172.68219999999999</v>
      </c>
      <c r="AT243" s="94"/>
      <c r="AU243" s="130">
        <f>(VLOOKUP($AE243,func,AU$378))*$AG243</f>
        <v>61.445199999999993</v>
      </c>
      <c r="AV243" s="94"/>
      <c r="AW243" s="130">
        <f>(VLOOKUP($AE243,func,AW$378))*$AG243</f>
        <v>339.00799999999998</v>
      </c>
      <c r="AX243" s="94"/>
      <c r="AY243" s="130">
        <f>(VLOOKUP($AE243,func,AY$378))*$AG243</f>
        <v>672.71900000000005</v>
      </c>
      <c r="BA243" s="82">
        <f t="shared" ref="BA243" si="238">SUM(AI243:AY243)-AG243</f>
        <v>0</v>
      </c>
      <c r="BB243" s="67"/>
      <c r="BC243" s="67"/>
      <c r="BD243" s="67"/>
    </row>
    <row r="244" spans="1:56" s="340" customFormat="1" ht="14.25" customHeight="1" x14ac:dyDescent="0.2">
      <c r="A244" s="551"/>
      <c r="B244" s="681"/>
      <c r="C244" s="677"/>
      <c r="D244" s="273">
        <v>408.1</v>
      </c>
      <c r="E244" s="94"/>
      <c r="F244" s="97" t="s">
        <v>480</v>
      </c>
      <c r="G244" s="55"/>
      <c r="H244" s="131">
        <v>19</v>
      </c>
      <c r="I244" s="97"/>
      <c r="J244" s="550">
        <v>215932.77771355215</v>
      </c>
      <c r="K244" s="267"/>
      <c r="L244" s="130">
        <f>(VLOOKUP($H244,Factors,L$378))*$J244</f>
        <v>120317.74374199126</v>
      </c>
      <c r="M244" s="94"/>
      <c r="N244" s="130">
        <f>(VLOOKUP($H244,Factors,N$378))*$J244</f>
        <v>55041.265039184444</v>
      </c>
      <c r="O244" s="94"/>
      <c r="P244" s="130">
        <f>(VLOOKUP($H244,Factors,P$378))*$J244</f>
        <v>6218.863998150302</v>
      </c>
      <c r="Q244" s="94"/>
      <c r="R244" s="130">
        <f>(VLOOKUP($H244,Factors,R$378))*$J244</f>
        <v>14402.716273493927</v>
      </c>
      <c r="S244" s="94"/>
      <c r="T244" s="130">
        <f>(VLOOKUP($H244,Factors,T$378))*$J244</f>
        <v>4167.5026098715571</v>
      </c>
      <c r="U244" s="94"/>
      <c r="V244" s="130">
        <f>(VLOOKUP($H244,Factors,V$378))*$J244</f>
        <v>5981.3379426653946</v>
      </c>
      <c r="W244" s="94"/>
      <c r="X244" s="130">
        <f>(VLOOKUP($H244,Factors,X$378))*$J244</f>
        <v>9803.3481081952687</v>
      </c>
      <c r="Y244" s="94"/>
      <c r="Z244" s="94">
        <f t="shared" si="223"/>
        <v>0</v>
      </c>
      <c r="AC244" s="97" t="s">
        <v>480</v>
      </c>
      <c r="AE244" s="112">
        <f t="shared" si="234"/>
        <v>19</v>
      </c>
      <c r="AG244" s="550">
        <f t="shared" si="235"/>
        <v>215932.77771355215</v>
      </c>
      <c r="AH244" s="267"/>
      <c r="AI244" s="130">
        <f>(VLOOKUP($AE244,func,AI$378))*$AG244</f>
        <v>86200.364863250012</v>
      </c>
      <c r="AJ244" s="94"/>
      <c r="AK244" s="130">
        <f>(VLOOKUP($AE244,func,AK$378))*$AG244</f>
        <v>41675.026098715563</v>
      </c>
      <c r="AL244" s="94"/>
      <c r="AM244" s="130">
        <f>(VLOOKUP($AE244,func,AM$378))*$AG244</f>
        <v>22478.602159980779</v>
      </c>
      <c r="AN244" s="94"/>
      <c r="AO244" s="130">
        <f>(VLOOKUP($AE244,func,AO$378))*$AG244</f>
        <v>23774.198826262091</v>
      </c>
      <c r="AP244" s="94"/>
      <c r="AQ244" s="130">
        <f>(VLOOKUP($AE244,func,AQ$378))*$AG244</f>
        <v>5743.8118871804872</v>
      </c>
      <c r="AR244" s="94"/>
      <c r="AS244" s="130">
        <f>(VLOOKUP($AE244,func,AS$378))*$AG244</f>
        <v>15957.432273031502</v>
      </c>
      <c r="AT244" s="94"/>
      <c r="AU244" s="130">
        <f>(VLOOKUP($AE244,func,AU$378))*$AG244</f>
        <v>4556.1816097559504</v>
      </c>
      <c r="AV244" s="94"/>
      <c r="AW244" s="130">
        <f>(VLOOKUP($AE244,func,AW$378))*$AG244</f>
        <v>5786.9984427231975</v>
      </c>
      <c r="AX244" s="94"/>
      <c r="AY244" s="130">
        <f>(VLOOKUP($AE244,func,AY$378))*$AG244</f>
        <v>9760.1615526525566</v>
      </c>
      <c r="BA244" s="82">
        <f t="shared" si="229"/>
        <v>0</v>
      </c>
      <c r="BB244" s="67"/>
      <c r="BC244" s="67"/>
      <c r="BD244" s="67"/>
    </row>
    <row r="245" spans="1:56" s="340" customFormat="1" ht="14.25" customHeight="1" x14ac:dyDescent="0.2">
      <c r="A245" s="551"/>
      <c r="B245" s="551"/>
      <c r="C245" s="516"/>
      <c r="D245" s="273">
        <v>412</v>
      </c>
      <c r="E245" s="94"/>
      <c r="F245" s="97" t="s">
        <v>542</v>
      </c>
      <c r="G245" s="55"/>
      <c r="H245" s="131">
        <v>18</v>
      </c>
      <c r="I245" s="97"/>
      <c r="J245" s="550">
        <v>-78492</v>
      </c>
      <c r="K245" s="267"/>
      <c r="L245" s="130">
        <f>(VLOOKUP($H245,Factors,L$378))*$J245</f>
        <v>-39795.444000000003</v>
      </c>
      <c r="M245" s="94"/>
      <c r="N245" s="130">
        <f>(VLOOKUP($H245,Factors,N$378))*$J245</f>
        <v>-21608.847600000001</v>
      </c>
      <c r="O245" s="94"/>
      <c r="P245" s="130">
        <f>(VLOOKUP($H245,Factors,P$378))*$J245</f>
        <v>-2284.1172000000001</v>
      </c>
      <c r="Q245" s="94"/>
      <c r="R245" s="130">
        <f>(VLOOKUP($H245,Factors,R$378))*$J245</f>
        <v>-5698.5191999999997</v>
      </c>
      <c r="S245" s="94"/>
      <c r="T245" s="130">
        <f>(VLOOKUP($H245,Factors,T$378))*$J245</f>
        <v>-1522.7447999999999</v>
      </c>
      <c r="U245" s="94"/>
      <c r="V245" s="130">
        <f>(VLOOKUP($H245,Factors,V$378))*$J245</f>
        <v>-2558.8391999999999</v>
      </c>
      <c r="W245" s="94"/>
      <c r="X245" s="130">
        <f>(VLOOKUP($H245,Factors,X$378))*$J245</f>
        <v>-5023.4880000000003</v>
      </c>
      <c r="Y245" s="94"/>
      <c r="Z245" s="94">
        <f t="shared" si="223"/>
        <v>0</v>
      </c>
      <c r="AC245" s="97" t="s">
        <v>542</v>
      </c>
      <c r="AE245" s="112">
        <f t="shared" si="234"/>
        <v>18</v>
      </c>
      <c r="AG245" s="550">
        <f t="shared" si="235"/>
        <v>-78492</v>
      </c>
      <c r="AH245" s="267"/>
      <c r="AI245" s="130">
        <f>(VLOOKUP($AE245,func,AI$378))*$AG245</f>
        <v>-32024.735999999997</v>
      </c>
      <c r="AJ245" s="94"/>
      <c r="AK245" s="130">
        <f>(VLOOKUP($AE245,func,AK$378))*$AG245</f>
        <v>-18335.731199999998</v>
      </c>
      <c r="AL245" s="94"/>
      <c r="AM245" s="130">
        <f>(VLOOKUP($AE245,func,AM$378))*$AG245</f>
        <v>-11185.109999999999</v>
      </c>
      <c r="AN245" s="94"/>
      <c r="AO245" s="130">
        <f>(VLOOKUP($AE245,func,AO$378))*$AG245</f>
        <v>-6247.9632000000001</v>
      </c>
      <c r="AP245" s="94"/>
      <c r="AQ245" s="130">
        <f>(VLOOKUP($AE245,func,AQ$378))*$AG245</f>
        <v>-1467.8004000000001</v>
      </c>
      <c r="AR245" s="94"/>
      <c r="AS245" s="130">
        <f>(VLOOKUP($AE245,func,AS$378))*$AG245</f>
        <v>-1279.4195999999999</v>
      </c>
      <c r="AT245" s="94"/>
      <c r="AU245" s="130">
        <f>(VLOOKUP($AE245,func,AU$378))*$AG245</f>
        <v>-455.25359999999995</v>
      </c>
      <c r="AV245" s="94"/>
      <c r="AW245" s="130">
        <f>(VLOOKUP($AE245,func,AW$378))*$AG245</f>
        <v>-2511.7440000000001</v>
      </c>
      <c r="AX245" s="94"/>
      <c r="AY245" s="130">
        <f>(VLOOKUP($AE245,func,AY$378))*$AG245</f>
        <v>-4984.2420000000002</v>
      </c>
      <c r="BA245" s="82">
        <f t="shared" si="229"/>
        <v>0</v>
      </c>
      <c r="BB245" s="67"/>
      <c r="BC245" s="67"/>
      <c r="BD245" s="67"/>
    </row>
    <row r="246" spans="1:56" s="340" customFormat="1" ht="3" customHeight="1" x14ac:dyDescent="0.2">
      <c r="A246" s="514"/>
      <c r="B246" s="515"/>
      <c r="C246" s="516"/>
      <c r="D246" s="273"/>
      <c r="E246" s="94"/>
      <c r="F246" s="97"/>
      <c r="G246" s="55"/>
      <c r="H246" s="131"/>
      <c r="I246" s="97"/>
      <c r="J246" s="553"/>
      <c r="K246" s="267"/>
      <c r="L246" s="506"/>
      <c r="M246" s="267"/>
      <c r="N246" s="506"/>
      <c r="O246" s="267"/>
      <c r="P246" s="506"/>
      <c r="Q246" s="267"/>
      <c r="R246" s="506"/>
      <c r="S246" s="267"/>
      <c r="T246" s="506"/>
      <c r="U246" s="267"/>
      <c r="V246" s="506"/>
      <c r="W246" s="267"/>
      <c r="X246" s="506"/>
      <c r="Y246" s="94"/>
      <c r="Z246" s="94">
        <f t="shared" si="223"/>
        <v>0</v>
      </c>
      <c r="AC246" s="97"/>
      <c r="AE246" s="112"/>
      <c r="AG246" s="553"/>
      <c r="AH246" s="267"/>
      <c r="AI246" s="506"/>
      <c r="AJ246" s="267"/>
      <c r="AK246" s="506"/>
      <c r="AL246" s="267"/>
      <c r="AM246" s="506"/>
      <c r="AN246" s="267"/>
      <c r="AO246" s="506"/>
      <c r="AP246" s="267"/>
      <c r="AQ246" s="506"/>
      <c r="AR246" s="267"/>
      <c r="AS246" s="506"/>
      <c r="AT246" s="267"/>
      <c r="AU246" s="506"/>
      <c r="AV246" s="267"/>
      <c r="AW246" s="506"/>
      <c r="AX246" s="267"/>
      <c r="AY246" s="506"/>
      <c r="BA246" s="82">
        <f t="shared" si="229"/>
        <v>0</v>
      </c>
      <c r="BB246" s="67"/>
      <c r="BC246" s="67"/>
      <c r="BD246" s="67"/>
    </row>
    <row r="247" spans="1:56" s="340" customFormat="1" x14ac:dyDescent="0.2">
      <c r="A247" s="551"/>
      <c r="B247" s="548"/>
      <c r="C247" s="548"/>
      <c r="D247" s="273"/>
      <c r="E247" s="94"/>
      <c r="F247" s="97"/>
      <c r="G247" s="55"/>
      <c r="H247" s="131"/>
      <c r="I247" s="97"/>
      <c r="J247" s="550"/>
      <c r="K247" s="267"/>
      <c r="L247" s="267"/>
      <c r="M247" s="267"/>
      <c r="N247" s="267"/>
      <c r="O247" s="267"/>
      <c r="P247" s="267"/>
      <c r="Q247" s="267"/>
      <c r="R247" s="267"/>
      <c r="S247" s="267"/>
      <c r="T247" s="267"/>
      <c r="U247" s="267"/>
      <c r="V247" s="267"/>
      <c r="W247" s="267"/>
      <c r="X247" s="267"/>
      <c r="Z247" s="94">
        <f t="shared" si="223"/>
        <v>0</v>
      </c>
      <c r="AC247" s="97"/>
      <c r="AG247" s="550"/>
      <c r="AH247" s="267"/>
      <c r="AI247" s="267"/>
      <c r="AJ247" s="267"/>
      <c r="AK247" s="267"/>
      <c r="AL247" s="267"/>
      <c r="AM247" s="267"/>
      <c r="AN247" s="267"/>
      <c r="AO247" s="267"/>
      <c r="AP247" s="267"/>
      <c r="AQ247" s="267"/>
      <c r="AR247" s="267"/>
      <c r="AS247" s="267"/>
      <c r="AT247" s="267"/>
      <c r="AU247" s="267"/>
      <c r="AV247" s="267"/>
      <c r="AW247" s="267"/>
      <c r="AX247" s="267"/>
      <c r="AY247" s="267"/>
      <c r="BA247" s="82">
        <f t="shared" si="229"/>
        <v>0</v>
      </c>
      <c r="BB247" s="67"/>
      <c r="BC247" s="67"/>
      <c r="BD247" s="67"/>
    </row>
    <row r="248" spans="1:56" s="340" customFormat="1" x14ac:dyDescent="0.2">
      <c r="A248" s="551"/>
      <c r="B248" s="517"/>
      <c r="C248" s="516"/>
      <c r="D248" s="273"/>
      <c r="E248" s="94"/>
      <c r="F248" s="97" t="s">
        <v>350</v>
      </c>
      <c r="G248" s="55"/>
      <c r="H248" s="131"/>
      <c r="I248" s="97"/>
      <c r="J248" s="550">
        <f>SUM(J241:J247)</f>
        <v>7783723.7777135521</v>
      </c>
      <c r="K248" s="130"/>
      <c r="L248" s="550">
        <f>SUM(L241:L247)</f>
        <v>4021854.865741991</v>
      </c>
      <c r="M248" s="130"/>
      <c r="N248" s="550">
        <f>SUM(N241:N247)</f>
        <v>2115388.5403391845</v>
      </c>
      <c r="O248" s="130"/>
      <c r="P248" s="550">
        <f>SUM(P241:P247)</f>
        <v>225785.9710981503</v>
      </c>
      <c r="Q248" s="130"/>
      <c r="R248" s="550">
        <f>SUM(R241:R247)</f>
        <v>556910.62687349389</v>
      </c>
      <c r="S248" s="130"/>
      <c r="T248" s="550">
        <f>SUM(T241:T247)</f>
        <v>150625.04200987157</v>
      </c>
      <c r="U248" s="130"/>
      <c r="V248" s="550">
        <f>SUM(V241:V247)</f>
        <v>244764.39154266537</v>
      </c>
      <c r="W248" s="130"/>
      <c r="X248" s="550">
        <f>SUM(X241:X247)</f>
        <v>468394.34010819526</v>
      </c>
      <c r="Z248" s="94">
        <f t="shared" si="223"/>
        <v>0</v>
      </c>
      <c r="AC248" s="97" t="s">
        <v>350</v>
      </c>
      <c r="AE248" s="112"/>
      <c r="AG248" s="550">
        <f>SUM(AG241:AG247)</f>
        <v>7783723.7777135521</v>
      </c>
      <c r="AH248" s="130"/>
      <c r="AI248" s="550">
        <f>SUM(AI241:AI247)</f>
        <v>3124807.4698632495</v>
      </c>
      <c r="AJ248" s="130"/>
      <c r="AK248" s="550">
        <f>SUM(AK241:AK247)</f>
        <v>1799915.2426987155</v>
      </c>
      <c r="AL248" s="130"/>
      <c r="AM248" s="550">
        <f>SUM(AM241:AM247)</f>
        <v>1049751.1616599807</v>
      </c>
      <c r="AN248" s="130"/>
      <c r="AO248" s="550">
        <f>SUM(AO241:AO247)</f>
        <v>711995.80242626218</v>
      </c>
      <c r="AP248" s="130"/>
      <c r="AQ248" s="550">
        <f>SUM(AQ241:AQ247)</f>
        <v>164307.38958718051</v>
      </c>
      <c r="AR248" s="130"/>
      <c r="AS248" s="550">
        <f>SUM(AS241:AS247)</f>
        <v>188006.44257303153</v>
      </c>
      <c r="AT248" s="130"/>
      <c r="AU248" s="550">
        <f>SUM(AU241:AU247)</f>
        <v>40105.22940975595</v>
      </c>
      <c r="AV248" s="94"/>
      <c r="AW248" s="550">
        <f>SUM(AW241:AW247)</f>
        <v>239969.77644272317</v>
      </c>
      <c r="AX248" s="94"/>
      <c r="AY248" s="550">
        <f>SUM(AY241:AY247)</f>
        <v>464865.26305265247</v>
      </c>
      <c r="BA248" s="82">
        <f t="shared" si="229"/>
        <v>0</v>
      </c>
      <c r="BB248" s="67"/>
      <c r="BC248" s="67"/>
      <c r="BD248" s="67"/>
    </row>
    <row r="249" spans="1:56" s="340" customFormat="1" ht="14.25" customHeight="1" x14ac:dyDescent="0.2">
      <c r="A249" s="551"/>
      <c r="B249" s="549"/>
      <c r="C249" s="675"/>
      <c r="D249" s="273"/>
      <c r="E249" s="94"/>
      <c r="F249" s="97"/>
      <c r="G249" s="55"/>
      <c r="H249" s="131"/>
      <c r="I249" s="97"/>
      <c r="J249" s="550"/>
      <c r="K249" s="267"/>
      <c r="L249" s="267"/>
      <c r="M249" s="265"/>
      <c r="N249" s="265"/>
      <c r="O249" s="265"/>
      <c r="P249" s="265"/>
      <c r="Q249" s="265"/>
      <c r="R249" s="265"/>
      <c r="S249" s="265"/>
      <c r="T249" s="265"/>
      <c r="U249" s="265"/>
      <c r="V249" s="265"/>
      <c r="W249" s="265"/>
      <c r="X249" s="265"/>
      <c r="Z249" s="94">
        <f t="shared" si="223"/>
        <v>0</v>
      </c>
      <c r="AC249" s="97"/>
      <c r="AG249" s="550"/>
      <c r="AH249" s="267"/>
      <c r="AI249" s="267"/>
      <c r="AJ249" s="265"/>
      <c r="AK249" s="265"/>
      <c r="AL249" s="265"/>
      <c r="AM249" s="265"/>
      <c r="AN249" s="265"/>
      <c r="AO249" s="265"/>
      <c r="AP249" s="265"/>
      <c r="AQ249" s="265"/>
      <c r="AR249" s="265"/>
      <c r="AS249" s="265"/>
      <c r="AT249" s="265"/>
      <c r="AU249" s="265"/>
      <c r="AV249" s="265"/>
      <c r="AW249" s="265"/>
      <c r="AX249" s="265"/>
      <c r="AY249" s="265"/>
      <c r="BA249" s="82">
        <f t="shared" si="229"/>
        <v>0</v>
      </c>
      <c r="BB249" s="67"/>
      <c r="BC249" s="67"/>
      <c r="BD249" s="67"/>
    </row>
    <row r="250" spans="1:56" s="340" customFormat="1" ht="13.5" customHeight="1" x14ac:dyDescent="0.2">
      <c r="A250" s="551"/>
      <c r="B250" s="517"/>
      <c r="C250" s="515"/>
      <c r="D250" s="276"/>
      <c r="E250" s="130"/>
      <c r="F250" s="219" t="s">
        <v>477</v>
      </c>
      <c r="G250" s="55"/>
      <c r="H250" s="131">
        <v>18</v>
      </c>
      <c r="I250" s="97"/>
      <c r="J250" s="550">
        <v>7638189.2825508881</v>
      </c>
      <c r="K250" s="265"/>
      <c r="L250" s="130">
        <f>(VLOOKUP($H250,Factors,L$378))*$J250</f>
        <v>3872561.9662533002</v>
      </c>
      <c r="M250" s="94"/>
      <c r="N250" s="130">
        <f>(VLOOKUP($H250,Factors,N$378))*$J250</f>
        <v>2102793.5094862594</v>
      </c>
      <c r="O250" s="94"/>
      <c r="P250" s="130">
        <f>(VLOOKUP($H250,Factors,P$378))*$J250</f>
        <v>222271.30812223084</v>
      </c>
      <c r="Q250" s="94"/>
      <c r="R250" s="130">
        <f>(VLOOKUP($H250,Factors,R$378))*$J250</f>
        <v>554532.54191319447</v>
      </c>
      <c r="S250" s="94"/>
      <c r="T250" s="130">
        <f>(VLOOKUP($H250,Factors,T$378))*$J250</f>
        <v>148180.87208148724</v>
      </c>
      <c r="U250" s="94"/>
      <c r="V250" s="130">
        <f>(VLOOKUP($H250,Factors,V$378))*$J250</f>
        <v>249004.97061115893</v>
      </c>
      <c r="W250" s="94"/>
      <c r="X250" s="130">
        <f>(VLOOKUP($H250,Factors,X$378))*$J250</f>
        <v>488844.11408325686</v>
      </c>
      <c r="Y250" s="94"/>
      <c r="Z250" s="94">
        <f t="shared" si="223"/>
        <v>0</v>
      </c>
      <c r="AC250" s="219" t="s">
        <v>477</v>
      </c>
      <c r="AE250" s="112">
        <f>+H250</f>
        <v>18</v>
      </c>
      <c r="AG250" s="550">
        <f>+J250</f>
        <v>7638189.2825508881</v>
      </c>
      <c r="AH250" s="265"/>
      <c r="AI250" s="130">
        <f>(VLOOKUP($AE250,func,AI$378))*$AG250</f>
        <v>3116381.227280762</v>
      </c>
      <c r="AJ250" s="94"/>
      <c r="AK250" s="130">
        <f>(VLOOKUP($AE250,func,AK$378))*$AG250</f>
        <v>1784281.0164038874</v>
      </c>
      <c r="AL250" s="94"/>
      <c r="AM250" s="130">
        <f>(VLOOKUP($AE250,func,AM$378))*$AG250</f>
        <v>1088441.9727635016</v>
      </c>
      <c r="AN250" s="94"/>
      <c r="AO250" s="130">
        <f>(VLOOKUP($AE250,func,AO$378))*$AG250</f>
        <v>607999.86689105071</v>
      </c>
      <c r="AP250" s="94"/>
      <c r="AQ250" s="130">
        <f>(VLOOKUP($AE250,func,AQ$378))*$AG250</f>
        <v>142834.13958370162</v>
      </c>
      <c r="AR250" s="94"/>
      <c r="AS250" s="130">
        <f>(VLOOKUP($AE250,func,AS$378))*$AG250</f>
        <v>124502.48530557947</v>
      </c>
      <c r="AT250" s="94"/>
      <c r="AU250" s="130">
        <f>(VLOOKUP($AE250,func,AU$378))*$AG250</f>
        <v>44301.497838795149</v>
      </c>
      <c r="AV250" s="130"/>
      <c r="AW250" s="130">
        <f>(VLOOKUP($AE250,func,AW$378))*$AG250</f>
        <v>244422.05704162843</v>
      </c>
      <c r="AX250" s="130"/>
      <c r="AY250" s="130">
        <f>(VLOOKUP($AE250,func,AY$378))*$AG250</f>
        <v>485025.01944198139</v>
      </c>
      <c r="BA250" s="82">
        <f t="shared" si="229"/>
        <v>0</v>
      </c>
      <c r="BB250" s="67"/>
      <c r="BC250" s="67"/>
      <c r="BD250" s="67"/>
    </row>
    <row r="251" spans="1:56" s="340" customFormat="1" ht="11.85" customHeight="1" x14ac:dyDescent="0.2">
      <c r="A251" s="551"/>
      <c r="B251" s="551"/>
      <c r="C251" s="515"/>
      <c r="D251" s="276"/>
      <c r="E251" s="130"/>
      <c r="F251" s="97"/>
      <c r="G251" s="55"/>
      <c r="H251" s="131"/>
      <c r="I251" s="97"/>
      <c r="J251" s="550"/>
      <c r="K251" s="265"/>
      <c r="L251" s="267"/>
      <c r="M251" s="265"/>
      <c r="N251" s="267"/>
      <c r="O251" s="265"/>
      <c r="P251" s="267"/>
      <c r="Q251" s="265"/>
      <c r="R251" s="267"/>
      <c r="S251" s="265"/>
      <c r="T251" s="267"/>
      <c r="U251" s="265"/>
      <c r="V251" s="267"/>
      <c r="W251" s="265"/>
      <c r="X251" s="267"/>
      <c r="Z251" s="94">
        <f t="shared" si="223"/>
        <v>0</v>
      </c>
      <c r="AC251" s="97"/>
      <c r="AE251" s="112"/>
      <c r="AG251" s="550"/>
      <c r="AH251" s="265"/>
      <c r="AI251" s="267"/>
      <c r="AJ251" s="265"/>
      <c r="AK251" s="267"/>
      <c r="AL251" s="265"/>
      <c r="AM251" s="267"/>
      <c r="AN251" s="265"/>
      <c r="AO251" s="267"/>
      <c r="AP251" s="265"/>
      <c r="AQ251" s="267"/>
      <c r="AR251" s="265"/>
      <c r="AS251" s="267"/>
      <c r="AT251" s="265"/>
      <c r="AU251" s="267"/>
      <c r="AV251" s="267"/>
      <c r="AW251" s="267"/>
      <c r="AX251" s="267"/>
      <c r="AY251" s="267"/>
      <c r="BA251" s="82">
        <f t="shared" si="229"/>
        <v>0</v>
      </c>
      <c r="BB251" s="67"/>
      <c r="BC251" s="67"/>
      <c r="BD251" s="67"/>
    </row>
    <row r="252" spans="1:56" s="340" customFormat="1" ht="12.2" customHeight="1" x14ac:dyDescent="0.2">
      <c r="A252" s="551"/>
      <c r="B252" s="551"/>
      <c r="C252" s="516"/>
      <c r="D252" s="273"/>
      <c r="E252" s="94"/>
      <c r="F252" s="219" t="s">
        <v>64</v>
      </c>
      <c r="G252" s="55"/>
      <c r="H252" s="131"/>
      <c r="I252" s="97"/>
      <c r="J252" s="550"/>
      <c r="K252" s="265"/>
      <c r="L252" s="267"/>
      <c r="M252" s="265"/>
      <c r="N252" s="265"/>
      <c r="O252" s="265"/>
      <c r="P252" s="265"/>
      <c r="Q252" s="265"/>
      <c r="R252" s="265"/>
      <c r="S252" s="265"/>
      <c r="T252" s="265"/>
      <c r="U252" s="265"/>
      <c r="V252" s="265"/>
      <c r="W252" s="265"/>
      <c r="X252" s="265"/>
      <c r="Z252" s="94">
        <f t="shared" si="223"/>
        <v>0</v>
      </c>
      <c r="AC252" s="219" t="s">
        <v>64</v>
      </c>
      <c r="AG252" s="550"/>
      <c r="AH252" s="265"/>
      <c r="AI252" s="267"/>
      <c r="AJ252" s="265"/>
      <c r="AK252" s="265"/>
      <c r="AL252" s="265"/>
      <c r="AM252" s="265"/>
      <c r="AN252" s="265"/>
      <c r="AO252" s="265"/>
      <c r="AP252" s="265"/>
      <c r="AQ252" s="265"/>
      <c r="AR252" s="265"/>
      <c r="AS252" s="265"/>
      <c r="AT252" s="265"/>
      <c r="AU252" s="265"/>
      <c r="AV252" s="265"/>
      <c r="AW252" s="265"/>
      <c r="AX252" s="265"/>
      <c r="AY252" s="265"/>
      <c r="BA252" s="82">
        <f t="shared" si="229"/>
        <v>0</v>
      </c>
      <c r="BB252" s="67"/>
      <c r="BC252" s="67"/>
      <c r="BD252" s="67"/>
    </row>
    <row r="253" spans="1:56" s="340" customFormat="1" x14ac:dyDescent="0.2">
      <c r="A253" s="551"/>
      <c r="B253" s="552"/>
      <c r="C253" s="515"/>
      <c r="D253" s="277"/>
      <c r="E253" s="267"/>
      <c r="F253" s="219" t="s">
        <v>65</v>
      </c>
      <c r="G253" s="55"/>
      <c r="H253" s="131">
        <v>18</v>
      </c>
      <c r="I253" s="97"/>
      <c r="J253" s="553">
        <v>36435815.856864601</v>
      </c>
      <c r="K253" s="265"/>
      <c r="L253" s="506">
        <f>(VLOOKUP($H253,Factors,L$378))*$J253</f>
        <v>18472958.639430352</v>
      </c>
      <c r="M253" s="265"/>
      <c r="N253" s="506">
        <f>(VLOOKUP($H253,Factors,N$378))*$J253</f>
        <v>10030780.105394823</v>
      </c>
      <c r="O253" s="265"/>
      <c r="P253" s="506">
        <f>(VLOOKUP($H253,Factors,P$378))*$J253</f>
        <v>1060282.2414347599</v>
      </c>
      <c r="Q253" s="265"/>
      <c r="R253" s="506">
        <f>(VLOOKUP($H253,Factors,R$378))*$J253</f>
        <v>2645240.2312083701</v>
      </c>
      <c r="S253" s="265"/>
      <c r="T253" s="506">
        <f>(VLOOKUP($H253,Factors,T$378))*$J253</f>
        <v>706854.82762317325</v>
      </c>
      <c r="U253" s="265"/>
      <c r="V253" s="506">
        <f>(VLOOKUP($H253,Factors,V$378))*$J253</f>
        <v>1187807.5969337858</v>
      </c>
      <c r="W253" s="265"/>
      <c r="X253" s="506">
        <f>(VLOOKUP($H253,Factors,X$378))*$J253</f>
        <v>2331892.2148393346</v>
      </c>
      <c r="Y253" s="94"/>
      <c r="Z253" s="94">
        <f t="shared" si="223"/>
        <v>0</v>
      </c>
      <c r="AC253" s="219" t="s">
        <v>65</v>
      </c>
      <c r="AE253" s="112">
        <f>+H253</f>
        <v>18</v>
      </c>
      <c r="AG253" s="553">
        <f>+J253</f>
        <v>36435815.856864601</v>
      </c>
      <c r="AH253" s="265"/>
      <c r="AI253" s="506">
        <f>(VLOOKUP($AE253,func,AI$378))*$AG253</f>
        <v>14865812.869600756</v>
      </c>
      <c r="AJ253" s="265"/>
      <c r="AK253" s="506">
        <f>(VLOOKUP($AE253,func,AK$378))*$AG253</f>
        <v>8511406.5841635708</v>
      </c>
      <c r="AL253" s="265"/>
      <c r="AM253" s="506">
        <f>(VLOOKUP($AE253,func,AM$378))*$AG253</f>
        <v>5192103.7596032051</v>
      </c>
      <c r="AN253" s="265"/>
      <c r="AO253" s="506">
        <f>(VLOOKUP($AE253,func,AO$378))*$AG253</f>
        <v>2900290.9422064223</v>
      </c>
      <c r="AP253" s="265"/>
      <c r="AQ253" s="506">
        <f>(VLOOKUP($AE253,func,AQ$378))*$AG253</f>
        <v>681349.75652336807</v>
      </c>
      <c r="AR253" s="265"/>
      <c r="AS253" s="506">
        <f>(VLOOKUP($AE253,func,AS$378))*$AG253</f>
        <v>593903.79846689291</v>
      </c>
      <c r="AT253" s="265"/>
      <c r="AU253" s="506">
        <f>(VLOOKUP($AE253,func,AU$378))*$AG253</f>
        <v>211327.73196981466</v>
      </c>
      <c r="AV253" s="94"/>
      <c r="AW253" s="506">
        <f>(VLOOKUP($AE253,func,AW$378))*$AG253</f>
        <v>1165946.1074196673</v>
      </c>
      <c r="AX253" s="94"/>
      <c r="AY253" s="506">
        <f>(VLOOKUP($AE253,func,AY$378))*$AG253</f>
        <v>2313674.3069109023</v>
      </c>
      <c r="BA253" s="82">
        <f t="shared" si="229"/>
        <v>0</v>
      </c>
      <c r="BB253" s="67"/>
      <c r="BC253" s="67"/>
      <c r="BD253" s="67"/>
    </row>
    <row r="254" spans="1:56" s="340" customFormat="1" x14ac:dyDescent="0.2">
      <c r="A254" s="551"/>
      <c r="B254" s="551"/>
      <c r="C254" s="516"/>
      <c r="D254" s="273"/>
      <c r="E254" s="94"/>
      <c r="F254" s="219"/>
      <c r="G254" s="55"/>
      <c r="H254" s="131"/>
      <c r="I254" s="97"/>
      <c r="J254" s="550"/>
      <c r="K254" s="267"/>
      <c r="L254" s="267"/>
      <c r="M254" s="267"/>
      <c r="N254" s="267"/>
      <c r="O254" s="267"/>
      <c r="P254" s="267"/>
      <c r="Q254" s="267"/>
      <c r="R254" s="267"/>
      <c r="S254" s="267"/>
      <c r="T254" s="267"/>
      <c r="U254" s="267"/>
      <c r="V254" s="267"/>
      <c r="W254" s="267"/>
      <c r="X254" s="267"/>
      <c r="Z254" s="94">
        <f t="shared" si="223"/>
        <v>0</v>
      </c>
      <c r="AC254" s="219"/>
      <c r="AE254" s="92"/>
      <c r="AG254" s="550"/>
      <c r="AH254" s="267"/>
      <c r="AI254" s="267"/>
      <c r="AJ254" s="267"/>
      <c r="AK254" s="267"/>
      <c r="AL254" s="267"/>
      <c r="AM254" s="267"/>
      <c r="AN254" s="267"/>
      <c r="AO254" s="267"/>
      <c r="AP254" s="267"/>
      <c r="AQ254" s="267"/>
      <c r="AR254" s="267"/>
      <c r="AS254" s="267"/>
      <c r="AT254" s="267"/>
      <c r="AU254" s="267"/>
      <c r="AV254" s="265"/>
      <c r="AW254" s="267"/>
      <c r="AX254" s="265"/>
      <c r="AY254" s="267"/>
      <c r="BA254" s="82">
        <f t="shared" si="229"/>
        <v>0</v>
      </c>
      <c r="BB254" s="67"/>
      <c r="BC254" s="67"/>
      <c r="BD254" s="67"/>
    </row>
    <row r="255" spans="1:56" s="340" customFormat="1" ht="12" customHeight="1" x14ac:dyDescent="0.2">
      <c r="A255" s="551"/>
      <c r="B255" s="551"/>
      <c r="C255" s="516"/>
      <c r="D255" s="273"/>
      <c r="E255" s="94"/>
      <c r="F255" s="219" t="s">
        <v>349</v>
      </c>
      <c r="G255" s="55"/>
      <c r="H255" s="131"/>
      <c r="I255" s="97"/>
      <c r="J255" s="650">
        <f>J165+J231+J248+J250+J253+J238</f>
        <v>108517826.47754957</v>
      </c>
      <c r="K255" s="648"/>
      <c r="L255" s="650">
        <f>L165+L231+L248+L250+L253+L238</f>
        <v>60465066.818706758</v>
      </c>
      <c r="M255" s="648"/>
      <c r="N255" s="650">
        <f>N165+N231+N248+N250+N253+N238</f>
        <v>27657418.038616195</v>
      </c>
      <c r="O255" s="648"/>
      <c r="P255" s="650">
        <f>P165+P231+P248+P250+P253+P238</f>
        <v>3124954.2264570533</v>
      </c>
      <c r="Q255" s="648"/>
      <c r="R255" s="650">
        <f>R165+R231+R248+R250+R253+R238</f>
        <v>7237723.3441966334</v>
      </c>
      <c r="S255" s="648"/>
      <c r="T255" s="650">
        <f>T165+T231+T248+T250+T253+T238</f>
        <v>2094902.2366706757</v>
      </c>
      <c r="U255" s="648"/>
      <c r="V255" s="650">
        <f>V165+V231+V248+V250+V253+V238</f>
        <v>3006720.2122160215</v>
      </c>
      <c r="W255" s="648"/>
      <c r="X255" s="650">
        <f>X165+X231+X248+X250+X253+X238</f>
        <v>4931041.6006862093</v>
      </c>
      <c r="Y255" s="67"/>
      <c r="Z255" s="94">
        <f t="shared" si="223"/>
        <v>0</v>
      </c>
      <c r="AC255" s="219" t="s">
        <v>349</v>
      </c>
      <c r="AG255" s="550">
        <f>AG165+AG231+AG248+AG250+AG253+AG238</f>
        <v>108517826.47754957</v>
      </c>
      <c r="AH255" s="130"/>
      <c r="AI255" s="550">
        <f>AI165+AI231+AI248+AI250+AI253+AI238</f>
        <v>43334966.005249731</v>
      </c>
      <c r="AJ255" s="130"/>
      <c r="AK255" s="550">
        <f>AK165+AK231+AK248+AK250+AK253+AK238</f>
        <v>20943104.953685585</v>
      </c>
      <c r="AL255" s="130"/>
      <c r="AM255" s="550">
        <f>AM165+AM231+AM248+AM250+AM253+AM238</f>
        <v>11294388.670813061</v>
      </c>
      <c r="AN255" s="130"/>
      <c r="AO255" s="550">
        <f>AO165+AO231+AO248+AO250+AO253+AO238</f>
        <v>11945993.518340584</v>
      </c>
      <c r="AP255" s="130"/>
      <c r="AQ255" s="550">
        <f>AQ165+AQ231+AQ248+AQ250+AQ253+AQ238</f>
        <v>2887620.7284710268</v>
      </c>
      <c r="AR255" s="130"/>
      <c r="AS255" s="550">
        <f>AS165+AS231+AS248+AS250+AS253+AS238</f>
        <v>8018241.061690866</v>
      </c>
      <c r="AT255" s="130"/>
      <c r="AU255" s="550">
        <f>AU165+AU231+AU248+AU250+AU253+AU238</f>
        <v>2288827.4507130017</v>
      </c>
      <c r="AV255" s="94"/>
      <c r="AW255" s="550">
        <f>AW165+AW231+AW248+AW250+AW253+AW238</f>
        <v>2903563.5205725576</v>
      </c>
      <c r="AX255" s="94"/>
      <c r="AY255" s="550">
        <f>AY165+AY231+AY248+AY250+AY253+AY238</f>
        <v>4901120.5680131353</v>
      </c>
      <c r="BA255" s="82">
        <f t="shared" ref="BA255" si="239">SUM(AI255:AY255)-AG255</f>
        <v>0</v>
      </c>
      <c r="BB255" s="67"/>
      <c r="BC255" s="67"/>
      <c r="BD255" s="67"/>
    </row>
    <row r="256" spans="1:56" s="340" customFormat="1" ht="12" customHeight="1" x14ac:dyDescent="0.2">
      <c r="A256" s="551"/>
      <c r="B256" s="551"/>
      <c r="C256" s="516"/>
      <c r="D256" s="273"/>
      <c r="E256" s="94"/>
      <c r="F256" s="97"/>
      <c r="G256" s="55"/>
      <c r="H256" s="131"/>
      <c r="I256" s="97"/>
      <c r="J256" s="550"/>
      <c r="K256" s="265"/>
      <c r="L256" s="267"/>
      <c r="M256" s="265"/>
      <c r="N256" s="265"/>
      <c r="O256" s="265"/>
      <c r="P256" s="265"/>
      <c r="Q256" s="265"/>
      <c r="R256" s="265"/>
      <c r="S256" s="265"/>
      <c r="T256" s="265"/>
      <c r="U256" s="265"/>
      <c r="V256" s="265"/>
      <c r="W256" s="265"/>
      <c r="X256" s="265"/>
      <c r="Y256" s="67"/>
      <c r="Z256" s="94">
        <f t="shared" si="223"/>
        <v>0</v>
      </c>
      <c r="AC256" s="97"/>
      <c r="AG256" s="550"/>
      <c r="AH256" s="265"/>
      <c r="AI256" s="267"/>
      <c r="AJ256" s="265"/>
      <c r="AK256" s="265"/>
      <c r="AL256" s="265"/>
      <c r="AM256" s="265"/>
      <c r="AN256" s="265"/>
      <c r="AO256" s="265"/>
      <c r="AP256" s="265"/>
      <c r="AQ256" s="265"/>
      <c r="AR256" s="265"/>
      <c r="AS256" s="265"/>
      <c r="AT256" s="265"/>
      <c r="AU256" s="265"/>
      <c r="AV256" s="265"/>
      <c r="AW256" s="265"/>
      <c r="AX256" s="265"/>
      <c r="AY256" s="265"/>
      <c r="BA256" s="82">
        <f t="shared" ref="BA256:BA330" si="240">SUM(AI256:AY256)-AG256</f>
        <v>0</v>
      </c>
      <c r="BB256" s="67"/>
      <c r="BC256" s="67"/>
      <c r="BD256" s="67"/>
    </row>
    <row r="257" spans="1:56" s="340" customFormat="1" x14ac:dyDescent="0.2">
      <c r="A257" s="551"/>
      <c r="B257" s="551"/>
      <c r="C257" s="516"/>
      <c r="D257" s="273"/>
      <c r="E257" s="94"/>
      <c r="F257" s="97" t="s">
        <v>582</v>
      </c>
      <c r="G257" s="55"/>
      <c r="H257" s="131">
        <v>19</v>
      </c>
      <c r="I257" s="97"/>
      <c r="J257" s="550"/>
      <c r="K257" s="265"/>
      <c r="L257" s="130">
        <f t="shared" ref="L257:L265" si="241">(VLOOKUP($H257,Factors,L$378))*$J257</f>
        <v>0</v>
      </c>
      <c r="M257" s="94"/>
      <c r="N257" s="130">
        <f t="shared" ref="N257:N265" si="242">(VLOOKUP($H257,Factors,N$378))*$J257</f>
        <v>0</v>
      </c>
      <c r="O257" s="94"/>
      <c r="P257" s="130">
        <f t="shared" ref="P257:P265" si="243">(VLOOKUP($H257,Factors,P$378))*$J257</f>
        <v>0</v>
      </c>
      <c r="Q257" s="94"/>
      <c r="R257" s="130">
        <f t="shared" ref="R257:R265" si="244">(VLOOKUP($H257,Factors,R$378))*$J257</f>
        <v>0</v>
      </c>
      <c r="S257" s="94"/>
      <c r="T257" s="130">
        <f t="shared" ref="T257:T265" si="245">(VLOOKUP($H257,Factors,T$378))*$J257</f>
        <v>0</v>
      </c>
      <c r="U257" s="94"/>
      <c r="V257" s="130">
        <f t="shared" ref="V257:V265" si="246">(VLOOKUP($H257,Factors,V$378))*$J257</f>
        <v>0</v>
      </c>
      <c r="W257" s="94"/>
      <c r="X257" s="130">
        <f t="shared" ref="X257:X265" si="247">(VLOOKUP($H257,Factors,X$378))*$J257</f>
        <v>0</v>
      </c>
      <c r="Y257" s="94"/>
      <c r="Z257" s="94">
        <f t="shared" si="223"/>
        <v>0</v>
      </c>
      <c r="AC257" s="97" t="s">
        <v>582</v>
      </c>
      <c r="AE257" s="112">
        <f t="shared" ref="AE257:AE265" si="248">+H257</f>
        <v>19</v>
      </c>
      <c r="AG257" s="550">
        <f t="shared" ref="AG257:AG265" si="249">+J257</f>
        <v>0</v>
      </c>
      <c r="AH257" s="265"/>
      <c r="AI257" s="130">
        <f t="shared" ref="AI257:AI265" si="250">(VLOOKUP($AE257,func,AI$378))*$AG257</f>
        <v>0</v>
      </c>
      <c r="AJ257" s="94"/>
      <c r="AK257" s="130">
        <f t="shared" ref="AK257:AK265" si="251">(VLOOKUP($AE257,func,AK$378))*$AG257</f>
        <v>0</v>
      </c>
      <c r="AL257" s="94"/>
      <c r="AM257" s="130">
        <f t="shared" ref="AM257:AM265" si="252">(VLOOKUP($AE257,func,AM$378))*$AG257</f>
        <v>0</v>
      </c>
      <c r="AN257" s="94"/>
      <c r="AO257" s="130">
        <f t="shared" ref="AO257:AO265" si="253">(VLOOKUP($AE257,func,AO$378))*$AG257</f>
        <v>0</v>
      </c>
      <c r="AP257" s="94"/>
      <c r="AQ257" s="130">
        <f t="shared" ref="AQ257:AQ265" si="254">(VLOOKUP($AE257,func,AQ$378))*$AG257</f>
        <v>0</v>
      </c>
      <c r="AR257" s="94"/>
      <c r="AS257" s="130">
        <f t="shared" ref="AS257:AS265" si="255">(VLOOKUP($AE257,func,AS$378))*$AG257</f>
        <v>0</v>
      </c>
      <c r="AT257" s="94"/>
      <c r="AU257" s="130">
        <f t="shared" ref="AU257:AU265" si="256">(VLOOKUP($AE257,func,AU$378))*$AG257</f>
        <v>0</v>
      </c>
      <c r="AV257" s="130"/>
      <c r="AW257" s="130">
        <f t="shared" ref="AW257:AW265" si="257">(VLOOKUP($AE257,func,AW$378))*$AG257</f>
        <v>0</v>
      </c>
      <c r="AX257" s="130"/>
      <c r="AY257" s="130">
        <f t="shared" ref="AY257:AY265" si="258">(VLOOKUP($AE257,func,AY$378))*$AG257</f>
        <v>0</v>
      </c>
      <c r="BA257" s="82">
        <f t="shared" si="240"/>
        <v>0</v>
      </c>
      <c r="BB257" s="67"/>
      <c r="BC257" s="67"/>
      <c r="BD257" s="67"/>
    </row>
    <row r="258" spans="1:56" s="340" customFormat="1" x14ac:dyDescent="0.2">
      <c r="A258" s="551"/>
      <c r="B258" s="551"/>
      <c r="C258" s="516"/>
      <c r="D258" s="273"/>
      <c r="E258" s="94"/>
      <c r="F258" s="97" t="s">
        <v>583</v>
      </c>
      <c r="G258" s="55"/>
      <c r="H258" s="131">
        <v>19</v>
      </c>
      <c r="I258" s="97"/>
      <c r="J258" s="550">
        <v>96878</v>
      </c>
      <c r="K258" s="265"/>
      <c r="L258" s="130">
        <f t="shared" si="241"/>
        <v>53980.421600000001</v>
      </c>
      <c r="M258" s="94"/>
      <c r="N258" s="130">
        <f t="shared" si="242"/>
        <v>24694.2022</v>
      </c>
      <c r="O258" s="94"/>
      <c r="P258" s="130">
        <f t="shared" si="243"/>
        <v>2790.0864000000001</v>
      </c>
      <c r="Q258" s="94"/>
      <c r="R258" s="130">
        <f t="shared" si="244"/>
        <v>6461.7625999999991</v>
      </c>
      <c r="S258" s="94"/>
      <c r="T258" s="130">
        <f t="shared" si="245"/>
        <v>1869.7454</v>
      </c>
      <c r="U258" s="94"/>
      <c r="V258" s="130">
        <f t="shared" si="246"/>
        <v>2683.5205999999998</v>
      </c>
      <c r="W258" s="94"/>
      <c r="X258" s="130">
        <f t="shared" si="247"/>
        <v>4398.2611999999999</v>
      </c>
      <c r="Y258" s="94"/>
      <c r="Z258" s="94">
        <f t="shared" si="223"/>
        <v>0</v>
      </c>
      <c r="AC258" s="97" t="s">
        <v>583</v>
      </c>
      <c r="AE258" s="112">
        <f t="shared" ref="AE258:AE261" si="259">+H258</f>
        <v>19</v>
      </c>
      <c r="AG258" s="550">
        <f t="shared" ref="AG258:AG261" si="260">+J258</f>
        <v>96878</v>
      </c>
      <c r="AH258" s="265"/>
      <c r="AI258" s="130">
        <f t="shared" si="250"/>
        <v>38673.6976</v>
      </c>
      <c r="AJ258" s="94"/>
      <c r="AK258" s="130">
        <f t="shared" si="251"/>
        <v>18697.454000000002</v>
      </c>
      <c r="AL258" s="94"/>
      <c r="AM258" s="130">
        <f t="shared" si="252"/>
        <v>10084.9998</v>
      </c>
      <c r="AN258" s="94"/>
      <c r="AO258" s="130">
        <f t="shared" si="253"/>
        <v>10666.2678</v>
      </c>
      <c r="AP258" s="94"/>
      <c r="AQ258" s="130">
        <f t="shared" si="254"/>
        <v>2576.9548</v>
      </c>
      <c r="AR258" s="94"/>
      <c r="AS258" s="130">
        <f t="shared" si="255"/>
        <v>7159.2841999999991</v>
      </c>
      <c r="AT258" s="94"/>
      <c r="AU258" s="130">
        <f t="shared" si="256"/>
        <v>2044.1258</v>
      </c>
      <c r="AV258" s="130"/>
      <c r="AW258" s="130">
        <f t="shared" si="257"/>
        <v>2596.3304000000003</v>
      </c>
      <c r="AX258" s="130"/>
      <c r="AY258" s="130">
        <f t="shared" si="258"/>
        <v>4378.8855999999996</v>
      </c>
      <c r="BA258" s="82">
        <f t="shared" ref="BA258:BA261" si="261">SUM(AI258:AY258)-AG258</f>
        <v>0</v>
      </c>
      <c r="BB258" s="67"/>
      <c r="BC258" s="67"/>
      <c r="BD258" s="67"/>
    </row>
    <row r="259" spans="1:56" s="340" customFormat="1" x14ac:dyDescent="0.2">
      <c r="A259" s="551"/>
      <c r="B259" s="551"/>
      <c r="C259" s="516"/>
      <c r="D259" s="273"/>
      <c r="E259" s="94"/>
      <c r="F259" s="97" t="s">
        <v>584</v>
      </c>
      <c r="G259" s="55"/>
      <c r="H259" s="131">
        <v>19</v>
      </c>
      <c r="I259" s="97"/>
      <c r="J259" s="550">
        <v>154930</v>
      </c>
      <c r="K259" s="265"/>
      <c r="L259" s="130">
        <f t="shared" si="241"/>
        <v>86326.995999999999</v>
      </c>
      <c r="M259" s="94"/>
      <c r="N259" s="130">
        <f t="shared" si="242"/>
        <v>39491.656999999999</v>
      </c>
      <c r="O259" s="94"/>
      <c r="P259" s="130">
        <f t="shared" si="243"/>
        <v>4461.9839999999995</v>
      </c>
      <c r="Q259" s="94"/>
      <c r="R259" s="130">
        <f t="shared" si="244"/>
        <v>10333.831</v>
      </c>
      <c r="S259" s="94"/>
      <c r="T259" s="130">
        <f t="shared" si="245"/>
        <v>2990.1490000000003</v>
      </c>
      <c r="U259" s="94"/>
      <c r="V259" s="130">
        <f t="shared" si="246"/>
        <v>4291.5609999999997</v>
      </c>
      <c r="W259" s="94"/>
      <c r="X259" s="130">
        <f t="shared" si="247"/>
        <v>7033.8220000000001</v>
      </c>
      <c r="Y259" s="94"/>
      <c r="Z259" s="94">
        <f t="shared" si="223"/>
        <v>0</v>
      </c>
      <c r="AC259" s="97" t="s">
        <v>584</v>
      </c>
      <c r="AE259" s="112">
        <f t="shared" si="259"/>
        <v>19</v>
      </c>
      <c r="AG259" s="550">
        <f t="shared" si="260"/>
        <v>154930</v>
      </c>
      <c r="AH259" s="265"/>
      <c r="AI259" s="130">
        <f t="shared" si="250"/>
        <v>61848.055999999997</v>
      </c>
      <c r="AJ259" s="94"/>
      <c r="AK259" s="130">
        <f t="shared" si="251"/>
        <v>29901.49</v>
      </c>
      <c r="AL259" s="94"/>
      <c r="AM259" s="130">
        <f t="shared" si="252"/>
        <v>16128.213</v>
      </c>
      <c r="AN259" s="94"/>
      <c r="AO259" s="130">
        <f t="shared" si="253"/>
        <v>17057.793000000001</v>
      </c>
      <c r="AP259" s="94"/>
      <c r="AQ259" s="130">
        <f t="shared" si="254"/>
        <v>4121.1379999999999</v>
      </c>
      <c r="AR259" s="94"/>
      <c r="AS259" s="130">
        <f t="shared" si="255"/>
        <v>11449.326999999999</v>
      </c>
      <c r="AT259" s="94"/>
      <c r="AU259" s="130">
        <f t="shared" si="256"/>
        <v>3269.0230000000001</v>
      </c>
      <c r="AV259" s="130"/>
      <c r="AW259" s="130">
        <f t="shared" si="257"/>
        <v>4152.1239999999998</v>
      </c>
      <c r="AX259" s="130"/>
      <c r="AY259" s="130">
        <f t="shared" si="258"/>
        <v>7002.8359999999993</v>
      </c>
      <c r="BA259" s="82">
        <f t="shared" si="261"/>
        <v>0</v>
      </c>
      <c r="BB259" s="67"/>
      <c r="BC259" s="67"/>
      <c r="BD259" s="67"/>
    </row>
    <row r="260" spans="1:56" s="340" customFormat="1" x14ac:dyDescent="0.2">
      <c r="A260" s="551"/>
      <c r="B260" s="551"/>
      <c r="C260" s="516"/>
      <c r="D260" s="273"/>
      <c r="E260" s="94"/>
      <c r="F260" s="97" t="s">
        <v>585</v>
      </c>
      <c r="G260" s="55"/>
      <c r="H260" s="131">
        <v>13</v>
      </c>
      <c r="I260" s="97"/>
      <c r="J260" s="550">
        <v>30840</v>
      </c>
      <c r="K260" s="265"/>
      <c r="L260" s="130">
        <f t="shared" si="241"/>
        <v>27799.175999999999</v>
      </c>
      <c r="M260" s="94"/>
      <c r="N260" s="130">
        <f t="shared" si="242"/>
        <v>2121.7919999999999</v>
      </c>
      <c r="O260" s="94"/>
      <c r="P260" s="130">
        <f t="shared" si="243"/>
        <v>12.336</v>
      </c>
      <c r="Q260" s="94"/>
      <c r="R260" s="130">
        <f t="shared" si="244"/>
        <v>185.04</v>
      </c>
      <c r="S260" s="94"/>
      <c r="T260" s="130">
        <f t="shared" si="245"/>
        <v>3.0840000000000001</v>
      </c>
      <c r="U260" s="94"/>
      <c r="V260" s="130">
        <f t="shared" si="246"/>
        <v>709.31999999999994</v>
      </c>
      <c r="W260" s="94"/>
      <c r="X260" s="130">
        <f t="shared" si="247"/>
        <v>9.2519999999999989</v>
      </c>
      <c r="Y260" s="94"/>
      <c r="Z260" s="94">
        <f t="shared" si="223"/>
        <v>0</v>
      </c>
      <c r="AC260" s="97" t="s">
        <v>585</v>
      </c>
      <c r="AE260" s="112">
        <f t="shared" si="259"/>
        <v>13</v>
      </c>
      <c r="AG260" s="550">
        <f t="shared" si="260"/>
        <v>30840</v>
      </c>
      <c r="AH260" s="265"/>
      <c r="AI260" s="130">
        <f t="shared" si="250"/>
        <v>0</v>
      </c>
      <c r="AJ260" s="94"/>
      <c r="AK260" s="130">
        <f t="shared" si="251"/>
        <v>0</v>
      </c>
      <c r="AL260" s="94"/>
      <c r="AM260" s="130">
        <f t="shared" si="252"/>
        <v>0</v>
      </c>
      <c r="AN260" s="94"/>
      <c r="AO260" s="130">
        <f t="shared" si="253"/>
        <v>0</v>
      </c>
      <c r="AP260" s="94"/>
      <c r="AQ260" s="130">
        <f t="shared" si="254"/>
        <v>0</v>
      </c>
      <c r="AR260" s="94"/>
      <c r="AS260" s="130">
        <f t="shared" si="255"/>
        <v>30121.428</v>
      </c>
      <c r="AT260" s="94"/>
      <c r="AU260" s="130">
        <f t="shared" si="256"/>
        <v>0</v>
      </c>
      <c r="AV260" s="130"/>
      <c r="AW260" s="130">
        <f t="shared" si="257"/>
        <v>709.31999999999994</v>
      </c>
      <c r="AX260" s="130"/>
      <c r="AY260" s="130">
        <f t="shared" si="258"/>
        <v>9.2519999999999989</v>
      </c>
      <c r="BA260" s="82">
        <f t="shared" si="261"/>
        <v>0</v>
      </c>
      <c r="BB260" s="67"/>
      <c r="BC260" s="67"/>
      <c r="BD260" s="67"/>
    </row>
    <row r="261" spans="1:56" s="340" customFormat="1" x14ac:dyDescent="0.2">
      <c r="A261" s="551"/>
      <c r="B261" s="551"/>
      <c r="C261" s="516"/>
      <c r="D261" s="273"/>
      <c r="E261" s="94"/>
      <c r="F261" s="97" t="s">
        <v>586</v>
      </c>
      <c r="G261" s="55"/>
      <c r="H261" s="131">
        <v>13</v>
      </c>
      <c r="I261" s="97"/>
      <c r="J261" s="550">
        <v>784484</v>
      </c>
      <c r="K261" s="265"/>
      <c r="L261" s="130">
        <f t="shared" si="241"/>
        <v>707133.87760000001</v>
      </c>
      <c r="M261" s="94"/>
      <c r="N261" s="130">
        <f t="shared" si="242"/>
        <v>53972.499199999998</v>
      </c>
      <c r="O261" s="94"/>
      <c r="P261" s="130">
        <f t="shared" si="243"/>
        <v>313.79360000000003</v>
      </c>
      <c r="Q261" s="94"/>
      <c r="R261" s="130">
        <f t="shared" si="244"/>
        <v>4706.9040000000005</v>
      </c>
      <c r="S261" s="94"/>
      <c r="T261" s="130">
        <f t="shared" si="245"/>
        <v>78.448400000000007</v>
      </c>
      <c r="U261" s="94"/>
      <c r="V261" s="130">
        <f t="shared" si="246"/>
        <v>18043.132000000001</v>
      </c>
      <c r="W261" s="94"/>
      <c r="X261" s="130">
        <f t="shared" si="247"/>
        <v>235.34519999999998</v>
      </c>
      <c r="Y261" s="94"/>
      <c r="Z261" s="94">
        <f t="shared" si="223"/>
        <v>0</v>
      </c>
      <c r="AC261" s="97" t="s">
        <v>586</v>
      </c>
      <c r="AE261" s="112">
        <f t="shared" si="259"/>
        <v>13</v>
      </c>
      <c r="AG261" s="550">
        <f t="shared" si="260"/>
        <v>784484</v>
      </c>
      <c r="AH261" s="265"/>
      <c r="AI261" s="130">
        <f t="shared" si="250"/>
        <v>0</v>
      </c>
      <c r="AJ261" s="94"/>
      <c r="AK261" s="130">
        <f t="shared" si="251"/>
        <v>0</v>
      </c>
      <c r="AL261" s="94"/>
      <c r="AM261" s="130">
        <f t="shared" si="252"/>
        <v>0</v>
      </c>
      <c r="AN261" s="94"/>
      <c r="AO261" s="130">
        <f t="shared" si="253"/>
        <v>0</v>
      </c>
      <c r="AP261" s="94"/>
      <c r="AQ261" s="130">
        <f t="shared" si="254"/>
        <v>0</v>
      </c>
      <c r="AR261" s="94"/>
      <c r="AS261" s="130">
        <f t="shared" si="255"/>
        <v>766205.52280000004</v>
      </c>
      <c r="AT261" s="94"/>
      <c r="AU261" s="130">
        <f t="shared" si="256"/>
        <v>0</v>
      </c>
      <c r="AV261" s="130"/>
      <c r="AW261" s="130">
        <f t="shared" si="257"/>
        <v>18043.132000000001</v>
      </c>
      <c r="AX261" s="130"/>
      <c r="AY261" s="130">
        <f t="shared" si="258"/>
        <v>235.34519999999998</v>
      </c>
      <c r="BA261" s="82">
        <f t="shared" si="261"/>
        <v>0</v>
      </c>
      <c r="BB261" s="67"/>
      <c r="BC261" s="67"/>
      <c r="BD261" s="67"/>
    </row>
    <row r="262" spans="1:56" s="340" customFormat="1" ht="14.25" customHeight="1" x14ac:dyDescent="0.2">
      <c r="A262" s="551"/>
      <c r="B262" s="551"/>
      <c r="C262" s="516"/>
      <c r="D262" s="273"/>
      <c r="E262" s="94"/>
      <c r="F262" s="97" t="s">
        <v>386</v>
      </c>
      <c r="G262" s="55"/>
      <c r="H262" s="131">
        <v>7</v>
      </c>
      <c r="I262" s="97"/>
      <c r="J262" s="550">
        <v>598864</v>
      </c>
      <c r="K262" s="265"/>
      <c r="L262" s="130">
        <f t="shared" si="241"/>
        <v>286017.44640000002</v>
      </c>
      <c r="M262" s="94"/>
      <c r="N262" s="130">
        <f t="shared" si="242"/>
        <v>185947.272</v>
      </c>
      <c r="O262" s="94"/>
      <c r="P262" s="130">
        <f t="shared" si="243"/>
        <v>7306.1408000000001</v>
      </c>
      <c r="Q262" s="94"/>
      <c r="R262" s="130">
        <f t="shared" si="244"/>
        <v>45633.436800000003</v>
      </c>
      <c r="S262" s="94"/>
      <c r="T262" s="130">
        <f t="shared" si="245"/>
        <v>4012.3888000000002</v>
      </c>
      <c r="U262" s="94"/>
      <c r="V262" s="130">
        <f t="shared" si="246"/>
        <v>33835.815999999999</v>
      </c>
      <c r="W262" s="94"/>
      <c r="X262" s="130">
        <f t="shared" si="247"/>
        <v>36111.499199999998</v>
      </c>
      <c r="Y262" s="94"/>
      <c r="Z262" s="94">
        <f t="shared" si="223"/>
        <v>0</v>
      </c>
      <c r="AC262" s="97" t="s">
        <v>386</v>
      </c>
      <c r="AE262" s="112">
        <f t="shared" si="248"/>
        <v>7</v>
      </c>
      <c r="AG262" s="550">
        <f t="shared" si="249"/>
        <v>598864</v>
      </c>
      <c r="AH262" s="265"/>
      <c r="AI262" s="130">
        <f t="shared" si="250"/>
        <v>231700.4816</v>
      </c>
      <c r="AJ262" s="94"/>
      <c r="AK262" s="130">
        <f t="shared" si="251"/>
        <v>52520.372799999997</v>
      </c>
      <c r="AL262" s="94"/>
      <c r="AM262" s="130">
        <f t="shared" si="252"/>
        <v>244695.83040000001</v>
      </c>
      <c r="AN262" s="94"/>
      <c r="AO262" s="130">
        <f t="shared" si="253"/>
        <v>0</v>
      </c>
      <c r="AP262" s="94"/>
      <c r="AQ262" s="130">
        <f t="shared" si="254"/>
        <v>0</v>
      </c>
      <c r="AR262" s="94"/>
      <c r="AS262" s="130">
        <f t="shared" si="255"/>
        <v>0</v>
      </c>
      <c r="AT262" s="94"/>
      <c r="AU262" s="130">
        <f t="shared" si="256"/>
        <v>0</v>
      </c>
      <c r="AV262" s="130"/>
      <c r="AW262" s="130">
        <f t="shared" si="257"/>
        <v>33835.815999999999</v>
      </c>
      <c r="AX262" s="130"/>
      <c r="AY262" s="130">
        <f t="shared" si="258"/>
        <v>36111.499199999998</v>
      </c>
      <c r="BA262" s="82">
        <f t="shared" si="240"/>
        <v>0</v>
      </c>
      <c r="BB262" s="67"/>
      <c r="BC262" s="67"/>
      <c r="BD262" s="67"/>
    </row>
    <row r="263" spans="1:56" s="340" customFormat="1" ht="14.25" customHeight="1" x14ac:dyDescent="0.2">
      <c r="A263" s="551"/>
      <c r="B263" s="551"/>
      <c r="C263" s="516"/>
      <c r="D263" s="273"/>
      <c r="E263" s="94"/>
      <c r="F263" s="97" t="s">
        <v>529</v>
      </c>
      <c r="G263" s="55"/>
      <c r="H263" s="131">
        <v>13</v>
      </c>
      <c r="I263" s="97"/>
      <c r="J263" s="550">
        <v>765681</v>
      </c>
      <c r="K263" s="265"/>
      <c r="L263" s="130">
        <f t="shared" si="241"/>
        <v>690184.85340000002</v>
      </c>
      <c r="M263" s="94"/>
      <c r="N263" s="130">
        <f t="shared" si="242"/>
        <v>52678.852800000001</v>
      </c>
      <c r="O263" s="94"/>
      <c r="P263" s="130">
        <f t="shared" si="243"/>
        <v>306.2724</v>
      </c>
      <c r="Q263" s="94"/>
      <c r="R263" s="130">
        <f t="shared" si="244"/>
        <v>4594.0860000000002</v>
      </c>
      <c r="S263" s="94"/>
      <c r="T263" s="130">
        <f t="shared" si="245"/>
        <v>76.568100000000001</v>
      </c>
      <c r="U263" s="94"/>
      <c r="V263" s="130">
        <f t="shared" si="246"/>
        <v>17610.663</v>
      </c>
      <c r="W263" s="94"/>
      <c r="X263" s="130">
        <f t="shared" si="247"/>
        <v>229.70429999999999</v>
      </c>
      <c r="Y263" s="94"/>
      <c r="Z263" s="94">
        <f t="shared" si="223"/>
        <v>0</v>
      </c>
      <c r="AC263" s="97" t="s">
        <v>529</v>
      </c>
      <c r="AE263" s="112">
        <f t="shared" si="248"/>
        <v>13</v>
      </c>
      <c r="AG263" s="550">
        <f t="shared" si="249"/>
        <v>765681</v>
      </c>
      <c r="AH263" s="265"/>
      <c r="AI263" s="130">
        <f t="shared" si="250"/>
        <v>0</v>
      </c>
      <c r="AJ263" s="94"/>
      <c r="AK263" s="130">
        <f t="shared" si="251"/>
        <v>0</v>
      </c>
      <c r="AL263" s="94"/>
      <c r="AM263" s="130">
        <f t="shared" si="252"/>
        <v>0</v>
      </c>
      <c r="AN263" s="94"/>
      <c r="AO263" s="130">
        <f t="shared" si="253"/>
        <v>0</v>
      </c>
      <c r="AP263" s="94"/>
      <c r="AQ263" s="130">
        <f t="shared" si="254"/>
        <v>0</v>
      </c>
      <c r="AR263" s="94"/>
      <c r="AS263" s="130">
        <f t="shared" si="255"/>
        <v>747840.63269999996</v>
      </c>
      <c r="AT263" s="94"/>
      <c r="AU263" s="130">
        <f t="shared" si="256"/>
        <v>0</v>
      </c>
      <c r="AV263" s="130"/>
      <c r="AW263" s="130">
        <f t="shared" si="257"/>
        <v>17610.663</v>
      </c>
      <c r="AX263" s="130"/>
      <c r="AY263" s="130">
        <f t="shared" si="258"/>
        <v>229.70429999999999</v>
      </c>
      <c r="BA263" s="82">
        <f t="shared" ref="BA263" si="262">SUM(AI263:AY263)-AG263</f>
        <v>0</v>
      </c>
      <c r="BB263" s="67"/>
      <c r="BC263" s="67"/>
      <c r="BD263" s="67"/>
    </row>
    <row r="264" spans="1:56" s="340" customFormat="1" ht="14.25" customHeight="1" x14ac:dyDescent="0.2">
      <c r="A264" s="551"/>
      <c r="B264" s="551"/>
      <c r="C264" s="516"/>
      <c r="D264" s="273"/>
      <c r="E264" s="94"/>
      <c r="F264" s="97" t="s">
        <v>593</v>
      </c>
      <c r="G264" s="55"/>
      <c r="H264" s="131">
        <v>13</v>
      </c>
      <c r="I264" s="97"/>
      <c r="J264" s="550">
        <v>51538</v>
      </c>
      <c r="K264" s="265"/>
      <c r="L264" s="130">
        <f t="shared" si="241"/>
        <v>46456.353199999998</v>
      </c>
      <c r="M264" s="94"/>
      <c r="N264" s="130">
        <f t="shared" si="242"/>
        <v>3545.8144000000002</v>
      </c>
      <c r="O264" s="94"/>
      <c r="P264" s="130">
        <f t="shared" si="243"/>
        <v>20.615200000000002</v>
      </c>
      <c r="Q264" s="94"/>
      <c r="R264" s="130">
        <f t="shared" si="244"/>
        <v>309.22800000000001</v>
      </c>
      <c r="S264" s="94"/>
      <c r="T264" s="130">
        <f t="shared" si="245"/>
        <v>5.1538000000000004</v>
      </c>
      <c r="U264" s="94"/>
      <c r="V264" s="130">
        <f t="shared" si="246"/>
        <v>1185.374</v>
      </c>
      <c r="W264" s="94"/>
      <c r="X264" s="130">
        <f t="shared" si="247"/>
        <v>15.461399999999999</v>
      </c>
      <c r="Y264" s="94"/>
      <c r="Z264" s="94">
        <f t="shared" si="223"/>
        <v>0</v>
      </c>
      <c r="AC264" s="97" t="s">
        <v>593</v>
      </c>
      <c r="AE264" s="112">
        <f t="shared" si="248"/>
        <v>13</v>
      </c>
      <c r="AG264" s="550">
        <f t="shared" ref="AG264" si="263">+J264</f>
        <v>51538</v>
      </c>
      <c r="AH264" s="265"/>
      <c r="AI264" s="130">
        <f t="shared" si="250"/>
        <v>0</v>
      </c>
      <c r="AJ264" s="94"/>
      <c r="AK264" s="130">
        <f t="shared" si="251"/>
        <v>0</v>
      </c>
      <c r="AL264" s="94"/>
      <c r="AM264" s="130">
        <f t="shared" si="252"/>
        <v>0</v>
      </c>
      <c r="AN264" s="94"/>
      <c r="AO264" s="130">
        <f t="shared" si="253"/>
        <v>0</v>
      </c>
      <c r="AP264" s="94"/>
      <c r="AQ264" s="130">
        <f t="shared" si="254"/>
        <v>0</v>
      </c>
      <c r="AR264" s="94"/>
      <c r="AS264" s="130">
        <f t="shared" si="255"/>
        <v>50337.164600000004</v>
      </c>
      <c r="AT264" s="94"/>
      <c r="AU264" s="130">
        <f t="shared" si="256"/>
        <v>0</v>
      </c>
      <c r="AV264" s="130"/>
      <c r="AW264" s="130">
        <f t="shared" si="257"/>
        <v>1185.374</v>
      </c>
      <c r="AX264" s="130"/>
      <c r="AY264" s="130">
        <f t="shared" si="258"/>
        <v>15.461399999999999</v>
      </c>
      <c r="BA264" s="82">
        <f t="shared" ref="BA264" si="264">SUM(AI264:AY264)-AG264</f>
        <v>0</v>
      </c>
      <c r="BB264" s="67"/>
      <c r="BC264" s="67"/>
      <c r="BD264" s="67"/>
    </row>
    <row r="265" spans="1:56" s="340" customFormat="1" x14ac:dyDescent="0.2">
      <c r="A265" s="551"/>
      <c r="B265" s="551"/>
      <c r="C265" s="516"/>
      <c r="D265" s="273"/>
      <c r="E265" s="94"/>
      <c r="F265" s="97" t="s">
        <v>385</v>
      </c>
      <c r="G265" s="55"/>
      <c r="H265" s="131">
        <v>18</v>
      </c>
      <c r="I265" s="97"/>
      <c r="J265" s="553">
        <v>551340</v>
      </c>
      <c r="K265" s="267"/>
      <c r="L265" s="506">
        <f t="shared" si="241"/>
        <v>279529.38</v>
      </c>
      <c r="M265" s="267"/>
      <c r="N265" s="506">
        <f t="shared" si="242"/>
        <v>151783.902</v>
      </c>
      <c r="O265" s="267"/>
      <c r="P265" s="506">
        <f t="shared" si="243"/>
        <v>16043.994000000001</v>
      </c>
      <c r="Q265" s="267"/>
      <c r="R265" s="506">
        <f t="shared" si="244"/>
        <v>40027.284</v>
      </c>
      <c r="S265" s="267"/>
      <c r="T265" s="506">
        <f t="shared" si="245"/>
        <v>10695.996000000001</v>
      </c>
      <c r="U265" s="267"/>
      <c r="V265" s="506">
        <f t="shared" si="246"/>
        <v>17973.683999999997</v>
      </c>
      <c r="W265" s="267"/>
      <c r="X265" s="506">
        <f t="shared" si="247"/>
        <v>35285.760000000002</v>
      </c>
      <c r="Y265" s="94"/>
      <c r="Z265" s="94">
        <f t="shared" si="223"/>
        <v>0</v>
      </c>
      <c r="AC265" s="97" t="s">
        <v>385</v>
      </c>
      <c r="AE265" s="112">
        <f t="shared" si="248"/>
        <v>18</v>
      </c>
      <c r="AG265" s="553">
        <f t="shared" si="249"/>
        <v>551340</v>
      </c>
      <c r="AH265" s="267"/>
      <c r="AI265" s="506">
        <f t="shared" si="250"/>
        <v>224946.71999999997</v>
      </c>
      <c r="AJ265" s="267"/>
      <c r="AK265" s="506">
        <f t="shared" si="251"/>
        <v>128793.024</v>
      </c>
      <c r="AL265" s="267"/>
      <c r="AM265" s="506">
        <f t="shared" si="252"/>
        <v>78565.95</v>
      </c>
      <c r="AN265" s="267"/>
      <c r="AO265" s="506">
        <f t="shared" si="253"/>
        <v>43886.664000000004</v>
      </c>
      <c r="AP265" s="267"/>
      <c r="AQ265" s="506">
        <f t="shared" si="254"/>
        <v>10310.058000000001</v>
      </c>
      <c r="AR265" s="267"/>
      <c r="AS265" s="506">
        <f t="shared" si="255"/>
        <v>8986.8419999999987</v>
      </c>
      <c r="AT265" s="267"/>
      <c r="AU265" s="506">
        <f t="shared" si="256"/>
        <v>3197.7719999999999</v>
      </c>
      <c r="AV265" s="267"/>
      <c r="AW265" s="506">
        <f t="shared" si="257"/>
        <v>17642.88</v>
      </c>
      <c r="AX265" s="267"/>
      <c r="AY265" s="506">
        <f t="shared" si="258"/>
        <v>35010.090000000004</v>
      </c>
      <c r="BA265" s="82">
        <f t="shared" si="240"/>
        <v>0</v>
      </c>
      <c r="BB265" s="67"/>
      <c r="BC265" s="67"/>
      <c r="BD265" s="67"/>
    </row>
    <row r="266" spans="1:56" s="340" customFormat="1" x14ac:dyDescent="0.2">
      <c r="A266" s="551"/>
      <c r="B266" s="551"/>
      <c r="C266" s="516"/>
      <c r="D266" s="273"/>
      <c r="E266" s="94"/>
      <c r="F266" s="97"/>
      <c r="G266" s="55"/>
      <c r="H266" s="131"/>
      <c r="I266" s="97"/>
      <c r="J266" s="550"/>
      <c r="K266" s="267"/>
      <c r="L266" s="267"/>
      <c r="M266" s="267"/>
      <c r="N266" s="267"/>
      <c r="O266" s="267"/>
      <c r="P266" s="267"/>
      <c r="Q266" s="267"/>
      <c r="R266" s="267"/>
      <c r="S266" s="267"/>
      <c r="T266" s="267"/>
      <c r="U266" s="267"/>
      <c r="V266" s="267"/>
      <c r="W266" s="267"/>
      <c r="X266" s="267"/>
      <c r="Z266" s="94">
        <f t="shared" si="223"/>
        <v>0</v>
      </c>
      <c r="AC266" s="97"/>
      <c r="AE266" s="92"/>
      <c r="AG266" s="550"/>
      <c r="AH266" s="267"/>
      <c r="AI266" s="267"/>
      <c r="AJ266" s="267"/>
      <c r="AK266" s="267"/>
      <c r="AL266" s="267"/>
      <c r="AM266" s="267"/>
      <c r="AN266" s="267"/>
      <c r="AO266" s="267"/>
      <c r="AP266" s="267"/>
      <c r="AQ266" s="267"/>
      <c r="AR266" s="267"/>
      <c r="AS266" s="267"/>
      <c r="AT266" s="267"/>
      <c r="AU266" s="267"/>
      <c r="AV266" s="267"/>
      <c r="AW266" s="267"/>
      <c r="AX266" s="267"/>
      <c r="AY266" s="267"/>
      <c r="BA266" s="82">
        <f t="shared" si="240"/>
        <v>0</v>
      </c>
      <c r="BB266" s="67"/>
      <c r="BC266" s="67"/>
      <c r="BD266" s="67"/>
    </row>
    <row r="267" spans="1:56" s="340" customFormat="1" x14ac:dyDescent="0.2">
      <c r="A267" s="551"/>
      <c r="B267" s="517"/>
      <c r="C267" s="516"/>
      <c r="D267" s="273"/>
      <c r="E267" s="94"/>
      <c r="F267" s="97" t="s">
        <v>66</v>
      </c>
      <c r="G267" s="55"/>
      <c r="H267" s="131"/>
      <c r="I267" s="97"/>
      <c r="J267" s="550">
        <f>SUM(J257:J266)</f>
        <v>3034555</v>
      </c>
      <c r="K267" s="130"/>
      <c r="L267" s="550">
        <f>SUM(L257:L266)</f>
        <v>2177428.5042000003</v>
      </c>
      <c r="M267" s="130"/>
      <c r="N267" s="550">
        <f>SUM(N257:N266)</f>
        <v>514235.99159999995</v>
      </c>
      <c r="O267" s="130"/>
      <c r="P267" s="550">
        <f>SUM(P257:P266)</f>
        <v>31255.222399999999</v>
      </c>
      <c r="Q267" s="130"/>
      <c r="R267" s="550">
        <f>SUM(R257:R266)</f>
        <v>112251.5724</v>
      </c>
      <c r="S267" s="130"/>
      <c r="T267" s="550">
        <f>SUM(T257:T266)</f>
        <v>19731.533500000001</v>
      </c>
      <c r="U267" s="130"/>
      <c r="V267" s="550">
        <f>SUM(V257:V266)</f>
        <v>96333.070599999992</v>
      </c>
      <c r="W267" s="130"/>
      <c r="X267" s="550">
        <f>SUM(X257:X266)</f>
        <v>83319.105299999996</v>
      </c>
      <c r="Z267" s="94">
        <f t="shared" si="223"/>
        <v>0</v>
      </c>
      <c r="AC267" s="97" t="s">
        <v>66</v>
      </c>
      <c r="AE267" s="92"/>
      <c r="AG267" s="553">
        <f>SUM(AG257:AG266)</f>
        <v>3034555</v>
      </c>
      <c r="AH267" s="130"/>
      <c r="AI267" s="553">
        <f>SUM(AI257:AI266)</f>
        <v>557168.95519999997</v>
      </c>
      <c r="AJ267" s="130"/>
      <c r="AK267" s="553">
        <f t="shared" ref="AK267" si="265">SUM(AK257:AK266)</f>
        <v>229912.34080000001</v>
      </c>
      <c r="AL267" s="130"/>
      <c r="AM267" s="553">
        <f t="shared" ref="AM267" si="266">SUM(AM257:AM266)</f>
        <v>349474.99320000003</v>
      </c>
      <c r="AN267" s="130"/>
      <c r="AO267" s="553">
        <f t="shared" ref="AO267" si="267">SUM(AO257:AO266)</f>
        <v>71610.724799999996</v>
      </c>
      <c r="AP267" s="130"/>
      <c r="AQ267" s="553">
        <f t="shared" ref="AQ267" si="268">SUM(AQ257:AQ266)</f>
        <v>17008.150800000003</v>
      </c>
      <c r="AR267" s="130"/>
      <c r="AS267" s="553">
        <f t="shared" ref="AS267" si="269">SUM(AS257:AS266)</f>
        <v>1622100.2012999998</v>
      </c>
      <c r="AT267" s="130"/>
      <c r="AU267" s="553">
        <f t="shared" ref="AU267" si="270">SUM(AU257:AU266)</f>
        <v>8510.9207999999999</v>
      </c>
      <c r="AV267" s="130"/>
      <c r="AW267" s="553">
        <f t="shared" ref="AW267" si="271">SUM(AW257:AW266)</f>
        <v>95775.6394</v>
      </c>
      <c r="AX267" s="130"/>
      <c r="AY267" s="553">
        <f t="shared" ref="AY267" si="272">SUM(AY257:AY266)</f>
        <v>82993.073700000008</v>
      </c>
      <c r="BA267" s="82">
        <f t="shared" si="240"/>
        <v>0</v>
      </c>
      <c r="BB267" s="67"/>
      <c r="BC267" s="67"/>
      <c r="BD267" s="67"/>
    </row>
    <row r="268" spans="1:56" s="340" customFormat="1" x14ac:dyDescent="0.2">
      <c r="A268" s="551"/>
      <c r="B268" s="551"/>
      <c r="C268" s="516"/>
      <c r="D268" s="273"/>
      <c r="E268" s="94"/>
      <c r="F268" s="97"/>
      <c r="G268" s="55"/>
      <c r="H268" s="131"/>
      <c r="I268" s="97"/>
      <c r="J268" s="550"/>
      <c r="K268" s="267"/>
      <c r="L268" s="267"/>
      <c r="M268" s="267"/>
      <c r="N268" s="267"/>
      <c r="O268" s="267"/>
      <c r="P268" s="267"/>
      <c r="Q268" s="267"/>
      <c r="R268" s="267"/>
      <c r="S268" s="267"/>
      <c r="T268" s="267"/>
      <c r="U268" s="267"/>
      <c r="V268" s="267"/>
      <c r="W268" s="267"/>
      <c r="X268" s="267"/>
      <c r="Z268" s="94">
        <f t="shared" si="223"/>
        <v>0</v>
      </c>
      <c r="AC268" s="97"/>
      <c r="AE268" s="92"/>
      <c r="AG268" s="550"/>
      <c r="AH268" s="267"/>
      <c r="AI268" s="267"/>
      <c r="AJ268" s="267"/>
      <c r="AK268" s="267"/>
      <c r="AL268" s="267"/>
      <c r="AM268" s="267"/>
      <c r="AN268" s="267"/>
      <c r="AO268" s="267"/>
      <c r="AP268" s="267"/>
      <c r="AQ268" s="267"/>
      <c r="AR268" s="267"/>
      <c r="AS268" s="267"/>
      <c r="AT268" s="267"/>
      <c r="AU268" s="267"/>
      <c r="AV268" s="265"/>
      <c r="AW268" s="265"/>
      <c r="AX268" s="265"/>
      <c r="AY268" s="265"/>
      <c r="BA268" s="82">
        <f t="shared" si="240"/>
        <v>0</v>
      </c>
      <c r="BB268" s="67"/>
      <c r="BC268" s="67"/>
      <c r="BD268" s="67"/>
    </row>
    <row r="269" spans="1:56" s="340" customFormat="1" x14ac:dyDescent="0.2">
      <c r="A269" s="551"/>
      <c r="B269" s="551"/>
      <c r="C269" s="677"/>
      <c r="D269" s="273"/>
      <c r="E269" s="94"/>
      <c r="F269" s="219" t="s">
        <v>348</v>
      </c>
      <c r="G269" s="55"/>
      <c r="H269" s="131"/>
      <c r="I269" s="97"/>
      <c r="J269" s="550"/>
      <c r="K269" s="130"/>
      <c r="L269" s="550"/>
      <c r="M269" s="130"/>
      <c r="N269" s="550"/>
      <c r="O269" s="130"/>
      <c r="P269" s="550"/>
      <c r="Q269" s="130"/>
      <c r="R269" s="550"/>
      <c r="S269" s="130"/>
      <c r="T269" s="550"/>
      <c r="U269" s="130"/>
      <c r="V269" s="550"/>
      <c r="W269" s="130"/>
      <c r="X269" s="550"/>
      <c r="Z269" s="94">
        <f t="shared" si="223"/>
        <v>0</v>
      </c>
      <c r="AC269" s="219" t="s">
        <v>348</v>
      </c>
      <c r="AE269" s="92"/>
      <c r="AG269" s="550"/>
      <c r="AH269" s="130"/>
      <c r="AI269" s="550"/>
      <c r="AJ269" s="130"/>
      <c r="AK269" s="550"/>
      <c r="AL269" s="130"/>
      <c r="AM269" s="550"/>
      <c r="AN269" s="130"/>
      <c r="AO269" s="550"/>
      <c r="AP269" s="130"/>
      <c r="AQ269" s="550"/>
      <c r="AR269" s="130"/>
      <c r="AS269" s="550"/>
      <c r="AT269" s="130"/>
      <c r="AU269" s="550"/>
      <c r="AV269" s="265"/>
      <c r="AW269" s="265"/>
      <c r="AX269" s="265"/>
      <c r="AY269" s="265"/>
      <c r="BA269" s="82">
        <f t="shared" si="240"/>
        <v>0</v>
      </c>
      <c r="BB269" s="67"/>
      <c r="BC269" s="67"/>
      <c r="BD269" s="67"/>
    </row>
    <row r="270" spans="1:56" s="340" customFormat="1" ht="13.5" thickBot="1" x14ac:dyDescent="0.25">
      <c r="A270" s="551"/>
      <c r="B270" s="516"/>
      <c r="C270" s="516"/>
      <c r="D270" s="273"/>
      <c r="E270" s="94"/>
      <c r="F270" s="219" t="s">
        <v>347</v>
      </c>
      <c r="G270" s="55"/>
      <c r="H270" s="131"/>
      <c r="I270" s="97"/>
      <c r="J270" s="654">
        <f>J255-J267</f>
        <v>105483271.47754957</v>
      </c>
      <c r="K270" s="648"/>
      <c r="L270" s="654">
        <f>L255-L267</f>
        <v>58287638.314506754</v>
      </c>
      <c r="M270" s="648"/>
      <c r="N270" s="654">
        <f>N255-N267</f>
        <v>27143182.047016196</v>
      </c>
      <c r="O270" s="648"/>
      <c r="P270" s="654">
        <f>P255-P267</f>
        <v>3093699.0040570535</v>
      </c>
      <c r="Q270" s="648"/>
      <c r="R270" s="654">
        <f>R255-R267</f>
        <v>7125471.7717966335</v>
      </c>
      <c r="S270" s="648"/>
      <c r="T270" s="654">
        <f>T255-T267</f>
        <v>2075170.7031706758</v>
      </c>
      <c r="U270" s="648"/>
      <c r="V270" s="654">
        <f>V255-V267</f>
        <v>2910387.1416160213</v>
      </c>
      <c r="W270" s="648"/>
      <c r="X270" s="654">
        <f>X255-X267</f>
        <v>4847722.4953862093</v>
      </c>
      <c r="Z270" s="94">
        <f t="shared" si="223"/>
        <v>0</v>
      </c>
      <c r="AC270" s="219" t="s">
        <v>347</v>
      </c>
      <c r="AE270" s="92"/>
      <c r="AG270" s="643">
        <f>AG255-AG267</f>
        <v>105483271.47754957</v>
      </c>
      <c r="AH270" s="130"/>
      <c r="AI270" s="643">
        <f>AI255-AI267</f>
        <v>42777797.05004973</v>
      </c>
      <c r="AJ270" s="130"/>
      <c r="AK270" s="643">
        <f>AK255-AK267</f>
        <v>20713192.612885587</v>
      </c>
      <c r="AL270" s="130"/>
      <c r="AM270" s="643">
        <f>AM255-AM267</f>
        <v>10944913.677613061</v>
      </c>
      <c r="AN270" s="130"/>
      <c r="AO270" s="643">
        <f>AO255-AO267</f>
        <v>11874382.793540584</v>
      </c>
      <c r="AP270" s="130"/>
      <c r="AQ270" s="643">
        <f>AQ255-AQ267</f>
        <v>2870612.5776710268</v>
      </c>
      <c r="AR270" s="130"/>
      <c r="AS270" s="643">
        <f>AS255-AS267</f>
        <v>6396140.8603908662</v>
      </c>
      <c r="AT270" s="130"/>
      <c r="AU270" s="643">
        <f>AU255-AU267</f>
        <v>2280316.5299130017</v>
      </c>
      <c r="AV270" s="94"/>
      <c r="AW270" s="643">
        <f>AW255-AW267</f>
        <v>2807787.8811725574</v>
      </c>
      <c r="AX270" s="94"/>
      <c r="AY270" s="643">
        <f>AY255-AY267</f>
        <v>4818127.4943131357</v>
      </c>
      <c r="BA270" s="82">
        <f t="shared" si="240"/>
        <v>0</v>
      </c>
      <c r="BB270" s="67"/>
      <c r="BC270" s="67"/>
      <c r="BD270" s="67"/>
    </row>
    <row r="271" spans="1:56" s="340" customFormat="1" ht="13.5" thickTop="1" x14ac:dyDescent="0.2">
      <c r="A271" s="551"/>
      <c r="B271" s="516"/>
      <c r="C271" s="516"/>
      <c r="D271" s="273"/>
      <c r="E271" s="94"/>
      <c r="F271" s="97"/>
      <c r="G271" s="55"/>
      <c r="H271" s="131"/>
      <c r="I271" s="97"/>
      <c r="J271" s="267"/>
      <c r="K271" s="267"/>
      <c r="L271" s="267"/>
      <c r="M271" s="267"/>
      <c r="N271" s="267"/>
      <c r="O271" s="267"/>
      <c r="P271" s="267"/>
      <c r="Q271" s="267"/>
      <c r="R271" s="267"/>
      <c r="S271" s="267"/>
      <c r="T271" s="267"/>
      <c r="U271" s="267"/>
      <c r="V271" s="267"/>
      <c r="W271" s="267"/>
      <c r="X271" s="267"/>
      <c r="Z271" s="94">
        <f t="shared" si="223"/>
        <v>0</v>
      </c>
      <c r="AC271" s="97"/>
      <c r="AE271" s="92"/>
      <c r="AG271" s="265"/>
      <c r="AH271" s="265"/>
      <c r="AI271" s="265">
        <f>+SUM('F 1-2'!O15:O19)</f>
        <v>0</v>
      </c>
      <c r="AJ271" s="265"/>
      <c r="AK271" s="265"/>
      <c r="AL271" s="265"/>
      <c r="AM271" s="265"/>
      <c r="AN271" s="265"/>
      <c r="AO271" s="265"/>
      <c r="AP271" s="265"/>
      <c r="AQ271" s="265"/>
      <c r="AR271" s="265"/>
      <c r="AS271" s="265"/>
      <c r="AT271" s="265"/>
      <c r="AU271" s="265"/>
      <c r="AV271" s="265"/>
      <c r="AW271" s="265"/>
      <c r="AX271" s="265"/>
      <c r="AY271" s="265"/>
      <c r="BA271" s="82">
        <f t="shared" si="240"/>
        <v>0</v>
      </c>
    </row>
    <row r="272" spans="1:56" s="340" customFormat="1" x14ac:dyDescent="0.2">
      <c r="A272" s="551"/>
      <c r="B272" s="516"/>
      <c r="C272" s="516"/>
      <c r="D272" s="273"/>
      <c r="E272" s="94"/>
      <c r="F272" s="97"/>
      <c r="G272" s="55"/>
      <c r="H272" s="131"/>
      <c r="I272" s="97"/>
      <c r="J272" s="267"/>
      <c r="K272" s="267"/>
      <c r="L272" s="267"/>
      <c r="M272" s="267"/>
      <c r="N272" s="267"/>
      <c r="O272" s="267"/>
      <c r="P272" s="267"/>
      <c r="Q272" s="267"/>
      <c r="R272" s="267"/>
      <c r="S272" s="267"/>
      <c r="T272" s="267"/>
      <c r="U272" s="267"/>
      <c r="V272" s="267"/>
      <c r="W272" s="267"/>
      <c r="X272" s="267"/>
      <c r="Z272" s="94"/>
      <c r="AC272" s="97"/>
      <c r="AE272" s="92"/>
      <c r="AG272" s="265"/>
      <c r="AH272" s="265"/>
      <c r="AI272" s="265" t="e">
        <f>+AI270/AI271</f>
        <v>#DIV/0!</v>
      </c>
      <c r="AJ272" s="265"/>
      <c r="AK272" s="265"/>
      <c r="AL272" s="265"/>
      <c r="AM272" s="265"/>
      <c r="AN272" s="265"/>
      <c r="AO272" s="265"/>
      <c r="AP272" s="265"/>
      <c r="AQ272" s="265"/>
      <c r="AR272" s="265"/>
      <c r="AS272" s="265"/>
      <c r="AT272" s="265"/>
      <c r="AU272" s="265"/>
      <c r="AV272" s="265"/>
      <c r="AW272" s="265"/>
      <c r="AX272" s="265"/>
      <c r="AY272" s="265"/>
      <c r="BA272" s="82"/>
    </row>
    <row r="273" spans="1:56" s="340" customFormat="1" x14ac:dyDescent="0.2">
      <c r="A273" s="551"/>
      <c r="B273" s="551"/>
      <c r="C273" s="516"/>
      <c r="D273" s="273"/>
      <c r="E273" s="94"/>
      <c r="F273" s="220" t="s">
        <v>94</v>
      </c>
      <c r="G273" s="56"/>
      <c r="H273" s="64"/>
      <c r="J273" s="266"/>
      <c r="K273" s="267"/>
      <c r="L273" s="267"/>
      <c r="M273" s="267"/>
      <c r="N273" s="267"/>
      <c r="O273" s="267"/>
      <c r="P273" s="267"/>
      <c r="Q273" s="267"/>
      <c r="R273" s="267"/>
      <c r="S273" s="267"/>
      <c r="T273" s="267"/>
      <c r="U273" s="267"/>
      <c r="V273" s="267"/>
      <c r="W273" s="267"/>
      <c r="X273" s="267"/>
      <c r="Z273" s="94">
        <f t="shared" si="223"/>
        <v>0</v>
      </c>
      <c r="AC273" s="220" t="s">
        <v>94</v>
      </c>
      <c r="AE273" s="92"/>
      <c r="AG273" s="265"/>
      <c r="AH273" s="265"/>
      <c r="AI273" s="94"/>
      <c r="AJ273" s="265"/>
      <c r="AK273" s="265"/>
      <c r="AL273" s="265"/>
      <c r="AM273" s="265"/>
      <c r="AN273" s="265"/>
      <c r="AO273" s="265"/>
      <c r="AP273" s="265"/>
      <c r="AQ273" s="265"/>
      <c r="AR273" s="265"/>
      <c r="AS273" s="265"/>
      <c r="AT273" s="265"/>
      <c r="AU273" s="265"/>
      <c r="AV273" s="265"/>
      <c r="AW273" s="265"/>
      <c r="AX273" s="265"/>
      <c r="AY273" s="265"/>
      <c r="BA273" s="82">
        <f t="shared" si="240"/>
        <v>0</v>
      </c>
      <c r="BB273" s="67"/>
      <c r="BC273" s="67"/>
      <c r="BD273" s="67"/>
    </row>
    <row r="274" spans="1:56" s="340" customFormat="1" x14ac:dyDescent="0.2">
      <c r="A274" s="551"/>
      <c r="B274" s="551"/>
      <c r="C274" s="516"/>
      <c r="D274" s="273">
        <v>301</v>
      </c>
      <c r="E274" s="94"/>
      <c r="F274" s="97" t="s">
        <v>554</v>
      </c>
      <c r="G274" s="56"/>
      <c r="H274" s="64">
        <v>17</v>
      </c>
      <c r="J274" s="550">
        <v>550659.57000000018</v>
      </c>
      <c r="K274" s="265"/>
      <c r="L274" s="130">
        <f t="shared" ref="L274:L299" si="273">(VLOOKUP($H274,Factors,L$378))*$J274</f>
        <v>278578.67646300013</v>
      </c>
      <c r="M274" s="94"/>
      <c r="N274" s="130">
        <f t="shared" ref="N274:N299" si="274">(VLOOKUP($H274,Factors,N$378))*$J274</f>
        <v>151871.90940600005</v>
      </c>
      <c r="O274" s="94"/>
      <c r="P274" s="130">
        <f t="shared" ref="P274:P299" si="275">(VLOOKUP($H274,Factors,P$378))*$J274</f>
        <v>16024.193487000006</v>
      </c>
      <c r="Q274" s="94"/>
      <c r="R274" s="130">
        <f t="shared" ref="R274:R299" si="276">(VLOOKUP($H274,Factors,R$378))*$J274</f>
        <v>40032.950739000014</v>
      </c>
      <c r="S274" s="94"/>
      <c r="T274" s="130">
        <f t="shared" ref="T274:T299" si="277">(VLOOKUP($H274,Factors,T$378))*$J274</f>
        <v>10682.795658000005</v>
      </c>
      <c r="U274" s="94"/>
      <c r="V274" s="130">
        <f t="shared" ref="V274:V299" si="278">(VLOOKUP($H274,Factors,V$378))*$J274</f>
        <v>18006.567939000004</v>
      </c>
      <c r="W274" s="94"/>
      <c r="X274" s="130">
        <f t="shared" ref="X274:X299" si="279">(VLOOKUP($H274,Factors,X$378))*$J274</f>
        <v>35462.476308000012</v>
      </c>
      <c r="Y274" s="94"/>
      <c r="Z274" s="94">
        <f t="shared" ref="Z274:Z336" si="280">SUM(L274:X274)-J274</f>
        <v>0</v>
      </c>
      <c r="AC274" s="97" t="s">
        <v>554</v>
      </c>
      <c r="AE274" s="112">
        <f>+H274</f>
        <v>17</v>
      </c>
      <c r="AG274" s="94">
        <f>+J274</f>
        <v>550659.57000000018</v>
      </c>
      <c r="AH274" s="94"/>
      <c r="AI274" s="130">
        <f t="shared" ref="AI274:AI299" si="281">(VLOOKUP($AE274,func,AI$378))*$AG274</f>
        <v>224614.03860300005</v>
      </c>
      <c r="AJ274" s="130"/>
      <c r="AK274" s="130">
        <f t="shared" ref="AK274:AK299" si="282">(VLOOKUP($AE274,func,AK$378))*$AG274</f>
        <v>129239.80107900004</v>
      </c>
      <c r="AL274" s="130"/>
      <c r="AM274" s="130">
        <f t="shared" ref="AM274:AM299" si="283">(VLOOKUP($AE274,func,AM$378))*$AG274</f>
        <v>79129.780209000019</v>
      </c>
      <c r="AN274" s="130"/>
      <c r="AO274" s="130">
        <f t="shared" ref="AO274:AO299" si="284">(VLOOKUP($AE274,func,AO$378))*$AG274</f>
        <v>43502.106030000017</v>
      </c>
      <c r="AP274" s="130"/>
      <c r="AQ274" s="130">
        <f t="shared" ref="AQ274:AQ299" si="285">(VLOOKUP($AE274,func,AQ$378))*$AG274</f>
        <v>10242.268002000003</v>
      </c>
      <c r="AR274" s="130"/>
      <c r="AS274" s="130">
        <f t="shared" ref="AS274:AS299" si="286">(VLOOKUP($AE274,func,AS$378))*$AG274</f>
        <v>8094.6956790000022</v>
      </c>
      <c r="AT274" s="130"/>
      <c r="AU274" s="130">
        <f t="shared" ref="AU274:AU299" si="287">(VLOOKUP($AE274,func,AU$378))*$AG274</f>
        <v>2863.4297640000009</v>
      </c>
      <c r="AV274" s="130"/>
      <c r="AW274" s="130">
        <f t="shared" ref="AW274:AW299" si="288">(VLOOKUP($AE274,func,AW$378))*$AG274</f>
        <v>17731.238154000006</v>
      </c>
      <c r="AX274" s="130"/>
      <c r="AY274" s="130">
        <f t="shared" ref="AY274:AY299" si="289">(VLOOKUP($AE274,func,AY$378))*$AG274</f>
        <v>35242.212480000009</v>
      </c>
      <c r="BA274" s="82">
        <f t="shared" si="240"/>
        <v>0</v>
      </c>
      <c r="BB274" s="67"/>
      <c r="BC274" s="67"/>
      <c r="BD274" s="67"/>
    </row>
    <row r="275" spans="1:56" s="340" customFormat="1" x14ac:dyDescent="0.2">
      <c r="A275" s="511"/>
      <c r="B275" s="512"/>
      <c r="C275" s="516"/>
      <c r="D275" s="273">
        <v>302</v>
      </c>
      <c r="E275" s="94"/>
      <c r="F275" s="97" t="s">
        <v>555</v>
      </c>
      <c r="G275" s="56"/>
      <c r="H275" s="64">
        <v>17</v>
      </c>
      <c r="J275" s="550">
        <v>70260.819999999978</v>
      </c>
      <c r="K275" s="265"/>
      <c r="L275" s="130">
        <f t="shared" si="273"/>
        <v>35544.948837999989</v>
      </c>
      <c r="M275" s="94"/>
      <c r="N275" s="130">
        <f t="shared" si="274"/>
        <v>19377.934155999992</v>
      </c>
      <c r="O275" s="94"/>
      <c r="P275" s="130">
        <f t="shared" si="275"/>
        <v>2044.5898619999994</v>
      </c>
      <c r="Q275" s="94"/>
      <c r="R275" s="130">
        <f t="shared" si="276"/>
        <v>5107.961613999998</v>
      </c>
      <c r="S275" s="94"/>
      <c r="T275" s="130">
        <f t="shared" si="277"/>
        <v>1363.0599079999997</v>
      </c>
      <c r="U275" s="94"/>
      <c r="V275" s="130">
        <f t="shared" si="278"/>
        <v>2297.5288139999993</v>
      </c>
      <c r="W275" s="94"/>
      <c r="X275" s="130">
        <f t="shared" si="279"/>
        <v>4524.7968079999982</v>
      </c>
      <c r="Y275" s="94"/>
      <c r="Z275" s="94">
        <f t="shared" si="280"/>
        <v>0</v>
      </c>
      <c r="AC275" s="97" t="s">
        <v>555</v>
      </c>
      <c r="AE275" s="112">
        <f t="shared" ref="AE275:AE321" si="290">+H275</f>
        <v>17</v>
      </c>
      <c r="AG275" s="94">
        <f t="shared" ref="AG275:AG321" si="291">+J275</f>
        <v>70260.819999999978</v>
      </c>
      <c r="AH275" s="94"/>
      <c r="AI275" s="130">
        <f t="shared" si="281"/>
        <v>28659.38847799999</v>
      </c>
      <c r="AJ275" s="130"/>
      <c r="AK275" s="130">
        <f t="shared" si="282"/>
        <v>16490.214453999994</v>
      </c>
      <c r="AL275" s="130"/>
      <c r="AM275" s="130">
        <f t="shared" si="283"/>
        <v>10096.479833999996</v>
      </c>
      <c r="AN275" s="130"/>
      <c r="AO275" s="130">
        <f t="shared" si="284"/>
        <v>5550.6047799999988</v>
      </c>
      <c r="AP275" s="130"/>
      <c r="AQ275" s="130">
        <f t="shared" si="285"/>
        <v>1306.8512519999995</v>
      </c>
      <c r="AR275" s="130"/>
      <c r="AS275" s="130">
        <f t="shared" si="286"/>
        <v>1032.8340539999997</v>
      </c>
      <c r="AT275" s="130"/>
      <c r="AU275" s="130">
        <f t="shared" si="287"/>
        <v>365.3562639999999</v>
      </c>
      <c r="AV275" s="130"/>
      <c r="AW275" s="130">
        <f t="shared" si="288"/>
        <v>2262.3984039999991</v>
      </c>
      <c r="AX275" s="130"/>
      <c r="AY275" s="130">
        <f t="shared" si="289"/>
        <v>4496.6924799999988</v>
      </c>
      <c r="BA275" s="82">
        <f t="shared" si="240"/>
        <v>0</v>
      </c>
      <c r="BB275" s="67"/>
      <c r="BC275" s="67"/>
      <c r="BD275" s="67"/>
    </row>
    <row r="276" spans="1:56" s="340" customFormat="1" x14ac:dyDescent="0.2">
      <c r="A276" s="511"/>
      <c r="B276" s="512"/>
      <c r="C276" s="516"/>
      <c r="D276" s="273">
        <v>339.1</v>
      </c>
      <c r="E276" s="94"/>
      <c r="F276" s="97" t="s">
        <v>431</v>
      </c>
      <c r="G276" s="56"/>
      <c r="H276" s="64">
        <v>17</v>
      </c>
      <c r="J276" s="550">
        <v>180469.98528009292</v>
      </c>
      <c r="K276" s="265"/>
      <c r="L276" s="130">
        <f t="shared" si="273"/>
        <v>91299.765553199017</v>
      </c>
      <c r="M276" s="94"/>
      <c r="N276" s="130">
        <f t="shared" si="274"/>
        <v>49773.621940249628</v>
      </c>
      <c r="O276" s="94"/>
      <c r="P276" s="130">
        <f t="shared" si="275"/>
        <v>5251.6765716507043</v>
      </c>
      <c r="Q276" s="94"/>
      <c r="R276" s="130">
        <f t="shared" si="276"/>
        <v>13120.167929862755</v>
      </c>
      <c r="S276" s="94"/>
      <c r="T276" s="130">
        <f t="shared" si="277"/>
        <v>3501.1177144338026</v>
      </c>
      <c r="U276" s="94"/>
      <c r="V276" s="130">
        <f t="shared" si="278"/>
        <v>5901.3685186590383</v>
      </c>
      <c r="W276" s="94"/>
      <c r="X276" s="130">
        <f t="shared" si="279"/>
        <v>11622.267052037983</v>
      </c>
      <c r="Y276" s="94"/>
      <c r="Z276" s="94">
        <f t="shared" si="280"/>
        <v>0</v>
      </c>
      <c r="AC276" s="97" t="s">
        <v>431</v>
      </c>
      <c r="AE276" s="112">
        <f t="shared" si="290"/>
        <v>17</v>
      </c>
      <c r="AG276" s="94">
        <f t="shared" si="291"/>
        <v>180469.98528009292</v>
      </c>
      <c r="AH276" s="94"/>
      <c r="AI276" s="130">
        <f t="shared" si="281"/>
        <v>73613.706995749904</v>
      </c>
      <c r="AJ276" s="130"/>
      <c r="AK276" s="130">
        <f t="shared" si="282"/>
        <v>42356.30554523781</v>
      </c>
      <c r="AL276" s="130"/>
      <c r="AM276" s="130">
        <f t="shared" si="283"/>
        <v>25933.536884749352</v>
      </c>
      <c r="AN276" s="130"/>
      <c r="AO276" s="130">
        <f t="shared" si="284"/>
        <v>14257.12883712734</v>
      </c>
      <c r="AP276" s="130"/>
      <c r="AQ276" s="130">
        <f t="shared" si="285"/>
        <v>3356.7417262097279</v>
      </c>
      <c r="AR276" s="130"/>
      <c r="AS276" s="130">
        <f t="shared" si="286"/>
        <v>2652.9087836173658</v>
      </c>
      <c r="AT276" s="130"/>
      <c r="AU276" s="130">
        <f t="shared" si="287"/>
        <v>938.44392345648316</v>
      </c>
      <c r="AV276" s="130"/>
      <c r="AW276" s="130">
        <f t="shared" si="288"/>
        <v>5811.1335260189917</v>
      </c>
      <c r="AX276" s="130"/>
      <c r="AY276" s="130">
        <f t="shared" si="289"/>
        <v>11550.079057925946</v>
      </c>
      <c r="BA276" s="82">
        <f t="shared" si="240"/>
        <v>0</v>
      </c>
      <c r="BB276" s="67"/>
      <c r="BC276" s="67"/>
      <c r="BD276" s="67"/>
    </row>
    <row r="277" spans="1:56" s="340" customFormat="1" x14ac:dyDescent="0.2">
      <c r="A277" s="511"/>
      <c r="B277" s="512"/>
      <c r="C277" s="516"/>
      <c r="D277" s="273">
        <v>339.3</v>
      </c>
      <c r="E277" s="94"/>
      <c r="F277" s="97" t="s">
        <v>640</v>
      </c>
      <c r="G277" s="56"/>
      <c r="H277" s="64">
        <v>17</v>
      </c>
      <c r="J277" s="550">
        <v>413805.7479925215</v>
      </c>
      <c r="K277" s="265"/>
      <c r="L277" s="130">
        <f t="shared" si="273"/>
        <v>209344.32790941664</v>
      </c>
      <c r="M277" s="94"/>
      <c r="N277" s="130">
        <f t="shared" si="274"/>
        <v>114127.62529633743</v>
      </c>
      <c r="O277" s="94"/>
      <c r="P277" s="130">
        <f t="shared" si="275"/>
        <v>12041.747266582375</v>
      </c>
      <c r="Q277" s="94"/>
      <c r="R277" s="130">
        <f t="shared" si="276"/>
        <v>30083.677879056315</v>
      </c>
      <c r="S277" s="94"/>
      <c r="T277" s="130">
        <f t="shared" si="277"/>
        <v>8027.8315110549174</v>
      </c>
      <c r="U277" s="94"/>
      <c r="V277" s="130">
        <f t="shared" si="278"/>
        <v>13531.447959355453</v>
      </c>
      <c r="W277" s="94"/>
      <c r="X277" s="130">
        <f t="shared" si="279"/>
        <v>26649.090170718384</v>
      </c>
      <c r="Y277" s="94"/>
      <c r="Z277" s="94">
        <f t="shared" si="280"/>
        <v>0</v>
      </c>
      <c r="AC277" s="97" t="s">
        <v>556</v>
      </c>
      <c r="AE277" s="112">
        <f t="shared" si="290"/>
        <v>17</v>
      </c>
      <c r="AG277" s="94">
        <f t="shared" si="291"/>
        <v>413805.7479925215</v>
      </c>
      <c r="AH277" s="94"/>
      <c r="AI277" s="130">
        <f t="shared" si="281"/>
        <v>168791.36460614952</v>
      </c>
      <c r="AJ277" s="130"/>
      <c r="AK277" s="130">
        <f t="shared" si="282"/>
        <v>97120.209053844796</v>
      </c>
      <c r="AL277" s="130"/>
      <c r="AM277" s="130">
        <f t="shared" si="283"/>
        <v>59463.88598652534</v>
      </c>
      <c r="AN277" s="130"/>
      <c r="AO277" s="130">
        <f t="shared" si="284"/>
        <v>32690.6540914092</v>
      </c>
      <c r="AP277" s="130"/>
      <c r="AQ277" s="130">
        <f t="shared" si="285"/>
        <v>7696.7869126608994</v>
      </c>
      <c r="AR277" s="130"/>
      <c r="AS277" s="130">
        <f t="shared" si="286"/>
        <v>6082.9444954900655</v>
      </c>
      <c r="AT277" s="130"/>
      <c r="AU277" s="130">
        <f t="shared" si="287"/>
        <v>2151.7898895611115</v>
      </c>
      <c r="AV277" s="130"/>
      <c r="AW277" s="130">
        <f t="shared" si="288"/>
        <v>13324.545085359192</v>
      </c>
      <c r="AX277" s="130"/>
      <c r="AY277" s="130">
        <f t="shared" si="289"/>
        <v>26483.567871521376</v>
      </c>
      <c r="BA277" s="82">
        <f t="shared" si="240"/>
        <v>0</v>
      </c>
      <c r="BB277" s="67"/>
      <c r="BC277" s="67"/>
      <c r="BD277" s="67"/>
    </row>
    <row r="278" spans="1:56" s="340" customFormat="1" x14ac:dyDescent="0.2">
      <c r="A278" s="511"/>
      <c r="B278" s="512"/>
      <c r="C278" s="516"/>
      <c r="D278" s="273">
        <v>303.2</v>
      </c>
      <c r="E278" s="94"/>
      <c r="F278" s="97" t="s">
        <v>557</v>
      </c>
      <c r="G278" s="56"/>
      <c r="H278" s="64">
        <v>2</v>
      </c>
      <c r="J278" s="550">
        <v>1113291.57</v>
      </c>
      <c r="K278" s="265"/>
      <c r="L278" s="130">
        <f t="shared" si="273"/>
        <v>557981.73488400003</v>
      </c>
      <c r="M278" s="94"/>
      <c r="N278" s="130">
        <f t="shared" si="274"/>
        <v>359370.51879599999</v>
      </c>
      <c r="O278" s="94"/>
      <c r="P278" s="130">
        <f t="shared" si="275"/>
        <v>52881.349575</v>
      </c>
      <c r="Q278" s="94"/>
      <c r="R278" s="130">
        <f t="shared" si="276"/>
        <v>102534.15359700001</v>
      </c>
      <c r="S278" s="94"/>
      <c r="T278" s="130">
        <f t="shared" si="277"/>
        <v>36515.963495999997</v>
      </c>
      <c r="U278" s="94"/>
      <c r="V278" s="130">
        <f t="shared" si="278"/>
        <v>2003.9248260000002</v>
      </c>
      <c r="W278" s="94"/>
      <c r="X278" s="130">
        <f t="shared" si="279"/>
        <v>2003.9248260000002</v>
      </c>
      <c r="Y278" s="94"/>
      <c r="Z278" s="94">
        <f t="shared" si="280"/>
        <v>0</v>
      </c>
      <c r="AC278" s="97" t="s">
        <v>557</v>
      </c>
      <c r="AE278" s="112">
        <f t="shared" si="290"/>
        <v>2</v>
      </c>
      <c r="AG278" s="94">
        <f t="shared" si="291"/>
        <v>1113291.57</v>
      </c>
      <c r="AH278" s="94"/>
      <c r="AI278" s="130">
        <f t="shared" si="281"/>
        <v>632126.953446</v>
      </c>
      <c r="AJ278" s="130"/>
      <c r="AK278" s="130">
        <f t="shared" si="282"/>
        <v>477156.766902</v>
      </c>
      <c r="AL278" s="130"/>
      <c r="AM278" s="130">
        <f t="shared" si="283"/>
        <v>0</v>
      </c>
      <c r="AN278" s="130"/>
      <c r="AO278" s="130">
        <f t="shared" si="284"/>
        <v>0</v>
      </c>
      <c r="AP278" s="130"/>
      <c r="AQ278" s="130">
        <f t="shared" si="285"/>
        <v>0</v>
      </c>
      <c r="AR278" s="130"/>
      <c r="AS278" s="130">
        <f t="shared" si="286"/>
        <v>0</v>
      </c>
      <c r="AT278" s="130"/>
      <c r="AU278" s="130">
        <f t="shared" si="287"/>
        <v>0</v>
      </c>
      <c r="AV278" s="130"/>
      <c r="AW278" s="130">
        <f t="shared" si="288"/>
        <v>2003.9248260000002</v>
      </c>
      <c r="AX278" s="130"/>
      <c r="AY278" s="130">
        <f t="shared" si="289"/>
        <v>2003.9248260000002</v>
      </c>
      <c r="BA278" s="82">
        <f t="shared" si="240"/>
        <v>0</v>
      </c>
      <c r="BB278" s="67"/>
      <c r="BC278" s="67"/>
      <c r="BD278" s="67"/>
    </row>
    <row r="279" spans="1:56" s="340" customFormat="1" x14ac:dyDescent="0.2">
      <c r="A279" s="511"/>
      <c r="B279" s="512"/>
      <c r="C279" s="516"/>
      <c r="D279" s="273">
        <v>304.10000000000002</v>
      </c>
      <c r="E279" s="94"/>
      <c r="F279" s="97" t="s">
        <v>433</v>
      </c>
      <c r="G279" s="56"/>
      <c r="H279" s="64">
        <v>2</v>
      </c>
      <c r="J279" s="550">
        <v>16291305.883286864</v>
      </c>
      <c r="K279" s="265"/>
      <c r="L279" s="130">
        <f t="shared" si="273"/>
        <v>8165202.5087033752</v>
      </c>
      <c r="M279" s="94"/>
      <c r="N279" s="130">
        <f t="shared" si="274"/>
        <v>5258833.5391249992</v>
      </c>
      <c r="O279" s="94"/>
      <c r="P279" s="130">
        <f t="shared" si="275"/>
        <v>773837.02945612604</v>
      </c>
      <c r="Q279" s="94"/>
      <c r="R279" s="130">
        <f t="shared" si="276"/>
        <v>1500429.27185072</v>
      </c>
      <c r="S279" s="94"/>
      <c r="T279" s="130">
        <f t="shared" si="277"/>
        <v>534354.83297180908</v>
      </c>
      <c r="U279" s="94"/>
      <c r="V279" s="130">
        <f t="shared" si="278"/>
        <v>29324.350589916354</v>
      </c>
      <c r="W279" s="94"/>
      <c r="X279" s="130">
        <f t="shared" si="279"/>
        <v>29324.350589916354</v>
      </c>
      <c r="Y279" s="94"/>
      <c r="Z279" s="94">
        <f t="shared" si="280"/>
        <v>0</v>
      </c>
      <c r="AC279" s="97" t="s">
        <v>433</v>
      </c>
      <c r="AE279" s="112">
        <f t="shared" si="290"/>
        <v>2</v>
      </c>
      <c r="AG279" s="94">
        <f t="shared" si="291"/>
        <v>16291305.883286864</v>
      </c>
      <c r="AH279" s="94"/>
      <c r="AI279" s="130">
        <f t="shared" si="281"/>
        <v>9250203.4805302806</v>
      </c>
      <c r="AJ279" s="130"/>
      <c r="AK279" s="130">
        <f t="shared" si="282"/>
        <v>6982453.7015767498</v>
      </c>
      <c r="AL279" s="130"/>
      <c r="AM279" s="130">
        <f t="shared" si="283"/>
        <v>0</v>
      </c>
      <c r="AN279" s="130"/>
      <c r="AO279" s="130">
        <f t="shared" si="284"/>
        <v>0</v>
      </c>
      <c r="AP279" s="130"/>
      <c r="AQ279" s="130">
        <f t="shared" si="285"/>
        <v>0</v>
      </c>
      <c r="AR279" s="130"/>
      <c r="AS279" s="130">
        <f t="shared" si="286"/>
        <v>0</v>
      </c>
      <c r="AT279" s="130"/>
      <c r="AU279" s="130">
        <f t="shared" si="287"/>
        <v>0</v>
      </c>
      <c r="AV279" s="130"/>
      <c r="AW279" s="130">
        <f t="shared" si="288"/>
        <v>29324.350589916354</v>
      </c>
      <c r="AX279" s="130"/>
      <c r="AY279" s="130">
        <f t="shared" si="289"/>
        <v>29324.350589916354</v>
      </c>
      <c r="BA279" s="82">
        <f t="shared" si="240"/>
        <v>0</v>
      </c>
      <c r="BB279" s="67"/>
      <c r="BC279" s="67"/>
      <c r="BD279" s="67"/>
    </row>
    <row r="280" spans="1:56" s="340" customFormat="1" x14ac:dyDescent="0.2">
      <c r="A280" s="511"/>
      <c r="B280" s="512"/>
      <c r="C280" s="516"/>
      <c r="D280" s="273">
        <v>305</v>
      </c>
      <c r="E280" s="94"/>
      <c r="F280" s="97" t="s">
        <v>558</v>
      </c>
      <c r="G280" s="56"/>
      <c r="H280" s="64">
        <v>1</v>
      </c>
      <c r="J280" s="550">
        <v>522774.95601151866</v>
      </c>
      <c r="K280" s="265"/>
      <c r="L280" s="130">
        <f t="shared" si="273"/>
        <v>251350.19885033817</v>
      </c>
      <c r="M280" s="94"/>
      <c r="N280" s="130">
        <f t="shared" si="274"/>
        <v>169535.91823453549</v>
      </c>
      <c r="O280" s="94"/>
      <c r="P280" s="130">
        <f t="shared" si="275"/>
        <v>27550.240181807032</v>
      </c>
      <c r="Q280" s="94"/>
      <c r="R280" s="130">
        <f t="shared" si="276"/>
        <v>52016.108123146107</v>
      </c>
      <c r="S280" s="94"/>
      <c r="T280" s="130">
        <f t="shared" si="277"/>
        <v>19029.008398819282</v>
      </c>
      <c r="U280" s="94"/>
      <c r="V280" s="130">
        <f t="shared" si="278"/>
        <v>1620.6023636357079</v>
      </c>
      <c r="W280" s="94"/>
      <c r="X280" s="130">
        <f t="shared" si="279"/>
        <v>1672.8798592368598</v>
      </c>
      <c r="Y280" s="94"/>
      <c r="Z280" s="94">
        <f t="shared" si="280"/>
        <v>0</v>
      </c>
      <c r="AC280" s="97" t="s">
        <v>558</v>
      </c>
      <c r="AE280" s="112">
        <f t="shared" si="290"/>
        <v>1</v>
      </c>
      <c r="AG280" s="94">
        <f t="shared" si="291"/>
        <v>522774.95601151866</v>
      </c>
      <c r="AH280" s="94"/>
      <c r="AI280" s="130">
        <f t="shared" si="281"/>
        <v>519481.47378864611</v>
      </c>
      <c r="AJ280" s="130"/>
      <c r="AK280" s="130">
        <f t="shared" si="282"/>
        <v>0</v>
      </c>
      <c r="AL280" s="130"/>
      <c r="AM280" s="130">
        <f t="shared" si="283"/>
        <v>0</v>
      </c>
      <c r="AN280" s="130"/>
      <c r="AO280" s="130">
        <f t="shared" si="284"/>
        <v>0</v>
      </c>
      <c r="AP280" s="130"/>
      <c r="AQ280" s="130">
        <f t="shared" si="285"/>
        <v>0</v>
      </c>
      <c r="AR280" s="130"/>
      <c r="AS280" s="130">
        <f t="shared" si="286"/>
        <v>0</v>
      </c>
      <c r="AT280" s="130"/>
      <c r="AU280" s="130">
        <f t="shared" si="287"/>
        <v>0</v>
      </c>
      <c r="AV280" s="130"/>
      <c r="AW280" s="130">
        <f t="shared" si="288"/>
        <v>1620.6023636357079</v>
      </c>
      <c r="AX280" s="130"/>
      <c r="AY280" s="130">
        <f t="shared" si="289"/>
        <v>1672.8798592368598</v>
      </c>
      <c r="BA280" s="82">
        <f t="shared" si="240"/>
        <v>0</v>
      </c>
      <c r="BB280" s="67"/>
      <c r="BC280" s="67"/>
      <c r="BD280" s="67"/>
    </row>
    <row r="281" spans="1:56" s="340" customFormat="1" x14ac:dyDescent="0.2">
      <c r="A281" s="511"/>
      <c r="B281" s="512"/>
      <c r="C281" s="516"/>
      <c r="D281" s="273">
        <v>306</v>
      </c>
      <c r="E281" s="94"/>
      <c r="F281" s="97" t="s">
        <v>435</v>
      </c>
      <c r="G281" s="56"/>
      <c r="H281" s="64">
        <v>2</v>
      </c>
      <c r="J281" s="550">
        <v>1525801.1645719425</v>
      </c>
      <c r="K281" s="265"/>
      <c r="L281" s="130">
        <f t="shared" si="273"/>
        <v>764731.54368345754</v>
      </c>
      <c r="M281" s="94"/>
      <c r="N281" s="130">
        <f t="shared" si="274"/>
        <v>492528.61592382303</v>
      </c>
      <c r="O281" s="94"/>
      <c r="P281" s="130">
        <f t="shared" si="275"/>
        <v>72475.555317167265</v>
      </c>
      <c r="Q281" s="94"/>
      <c r="R281" s="130">
        <f t="shared" si="276"/>
        <v>140526.28725707592</v>
      </c>
      <c r="S281" s="94"/>
      <c r="T281" s="130">
        <f t="shared" si="277"/>
        <v>50046.278197959706</v>
      </c>
      <c r="U281" s="94"/>
      <c r="V281" s="130">
        <f t="shared" si="278"/>
        <v>2746.4420962294967</v>
      </c>
      <c r="W281" s="94"/>
      <c r="X281" s="130">
        <f t="shared" si="279"/>
        <v>2746.4420962294967</v>
      </c>
      <c r="Y281" s="94"/>
      <c r="Z281" s="94">
        <f t="shared" si="280"/>
        <v>0</v>
      </c>
      <c r="AC281" s="97" t="s">
        <v>435</v>
      </c>
      <c r="AE281" s="112">
        <f t="shared" si="290"/>
        <v>2</v>
      </c>
      <c r="AG281" s="94">
        <f t="shared" si="291"/>
        <v>1525801.1645719425</v>
      </c>
      <c r="AH281" s="94"/>
      <c r="AI281" s="130">
        <f t="shared" si="281"/>
        <v>866349.90124394896</v>
      </c>
      <c r="AJ281" s="130"/>
      <c r="AK281" s="130">
        <f t="shared" si="282"/>
        <v>653958.37913553452</v>
      </c>
      <c r="AL281" s="130"/>
      <c r="AM281" s="130">
        <f t="shared" si="283"/>
        <v>0</v>
      </c>
      <c r="AN281" s="130"/>
      <c r="AO281" s="130">
        <f t="shared" si="284"/>
        <v>0</v>
      </c>
      <c r="AP281" s="130"/>
      <c r="AQ281" s="130">
        <f t="shared" si="285"/>
        <v>0</v>
      </c>
      <c r="AR281" s="130"/>
      <c r="AS281" s="130">
        <f t="shared" si="286"/>
        <v>0</v>
      </c>
      <c r="AT281" s="130"/>
      <c r="AU281" s="130">
        <f t="shared" si="287"/>
        <v>0</v>
      </c>
      <c r="AV281" s="130"/>
      <c r="AW281" s="130">
        <f t="shared" si="288"/>
        <v>2746.4420962294967</v>
      </c>
      <c r="AX281" s="130"/>
      <c r="AY281" s="130">
        <f t="shared" si="289"/>
        <v>2746.4420962294967</v>
      </c>
      <c r="BA281" s="82">
        <f t="shared" si="240"/>
        <v>0</v>
      </c>
      <c r="BB281" s="67"/>
      <c r="BC281" s="67"/>
      <c r="BD281" s="67"/>
    </row>
    <row r="282" spans="1:56" s="340" customFormat="1" x14ac:dyDescent="0.2">
      <c r="A282" s="511"/>
      <c r="B282" s="512"/>
      <c r="C282" s="516"/>
      <c r="D282" s="273">
        <v>309</v>
      </c>
      <c r="E282" s="94"/>
      <c r="F282" s="97" t="s">
        <v>437</v>
      </c>
      <c r="G282" s="56"/>
      <c r="H282" s="64">
        <v>2</v>
      </c>
      <c r="J282" s="550">
        <v>13541032.619180344</v>
      </c>
      <c r="K282" s="265"/>
      <c r="L282" s="130">
        <f t="shared" si="273"/>
        <v>6786765.5487331878</v>
      </c>
      <c r="M282" s="94"/>
      <c r="N282" s="130">
        <f t="shared" si="274"/>
        <v>4371045.3294714149</v>
      </c>
      <c r="O282" s="94"/>
      <c r="P282" s="130">
        <f t="shared" si="275"/>
        <v>643199.04941106634</v>
      </c>
      <c r="Q282" s="94"/>
      <c r="R282" s="130">
        <f t="shared" si="276"/>
        <v>1247129.1042265098</v>
      </c>
      <c r="S282" s="94"/>
      <c r="T282" s="130">
        <f t="shared" si="277"/>
        <v>444145.86990911525</v>
      </c>
      <c r="U282" s="94"/>
      <c r="V282" s="130">
        <f t="shared" si="278"/>
        <v>24373.85871452462</v>
      </c>
      <c r="W282" s="94"/>
      <c r="X282" s="130">
        <f t="shared" si="279"/>
        <v>24373.85871452462</v>
      </c>
      <c r="Y282" s="94"/>
      <c r="Z282" s="94">
        <f t="shared" si="280"/>
        <v>0</v>
      </c>
      <c r="AC282" s="97" t="s">
        <v>437</v>
      </c>
      <c r="AE282" s="112">
        <f t="shared" si="290"/>
        <v>2</v>
      </c>
      <c r="AG282" s="94">
        <f t="shared" si="291"/>
        <v>13541032.619180344</v>
      </c>
      <c r="AH282" s="94"/>
      <c r="AI282" s="130">
        <f t="shared" si="281"/>
        <v>7688598.3211705992</v>
      </c>
      <c r="AJ282" s="130"/>
      <c r="AK282" s="130">
        <f t="shared" si="282"/>
        <v>5803686.5805806955</v>
      </c>
      <c r="AL282" s="130"/>
      <c r="AM282" s="130">
        <f t="shared" si="283"/>
        <v>0</v>
      </c>
      <c r="AN282" s="130"/>
      <c r="AO282" s="130">
        <f t="shared" si="284"/>
        <v>0</v>
      </c>
      <c r="AP282" s="130"/>
      <c r="AQ282" s="130">
        <f t="shared" si="285"/>
        <v>0</v>
      </c>
      <c r="AR282" s="130"/>
      <c r="AS282" s="130">
        <f t="shared" si="286"/>
        <v>0</v>
      </c>
      <c r="AT282" s="130"/>
      <c r="AU282" s="130">
        <f t="shared" si="287"/>
        <v>0</v>
      </c>
      <c r="AV282" s="130"/>
      <c r="AW282" s="130">
        <f t="shared" si="288"/>
        <v>24373.85871452462</v>
      </c>
      <c r="AX282" s="130"/>
      <c r="AY282" s="130">
        <f t="shared" si="289"/>
        <v>24373.85871452462</v>
      </c>
      <c r="BA282" s="82">
        <f t="shared" si="240"/>
        <v>0</v>
      </c>
      <c r="BB282" s="67"/>
      <c r="BC282" s="67"/>
      <c r="BD282" s="67"/>
    </row>
    <row r="283" spans="1:56" s="340" customFormat="1" x14ac:dyDescent="0.2">
      <c r="A283" s="511"/>
      <c r="B283" s="512"/>
      <c r="C283" s="516"/>
      <c r="D283" s="273">
        <v>311.52</v>
      </c>
      <c r="E283" s="94"/>
      <c r="F283" s="97" t="s">
        <v>562</v>
      </c>
      <c r="G283" s="56"/>
      <c r="H283" s="64">
        <v>2</v>
      </c>
      <c r="J283" s="550">
        <v>14727534.458229743</v>
      </c>
      <c r="K283" s="265"/>
      <c r="L283" s="130">
        <f t="shared" si="273"/>
        <v>7381440.2704647472</v>
      </c>
      <c r="M283" s="94"/>
      <c r="N283" s="130">
        <f t="shared" si="274"/>
        <v>4754048.1231165603</v>
      </c>
      <c r="O283" s="94"/>
      <c r="P283" s="130">
        <f t="shared" si="275"/>
        <v>699557.88676591276</v>
      </c>
      <c r="Q283" s="94"/>
      <c r="R283" s="130">
        <f t="shared" si="276"/>
        <v>1356405.9236029594</v>
      </c>
      <c r="S283" s="94"/>
      <c r="T283" s="130">
        <f t="shared" si="277"/>
        <v>483063.13022993552</v>
      </c>
      <c r="U283" s="94"/>
      <c r="V283" s="130">
        <f t="shared" si="278"/>
        <v>26509.562024813538</v>
      </c>
      <c r="W283" s="94"/>
      <c r="X283" s="130">
        <f t="shared" si="279"/>
        <v>26509.562024813538</v>
      </c>
      <c r="Y283" s="94"/>
      <c r="Z283" s="94">
        <f t="shared" si="280"/>
        <v>0</v>
      </c>
      <c r="AC283" s="97" t="s">
        <v>562</v>
      </c>
      <c r="AE283" s="112">
        <f t="shared" si="290"/>
        <v>2</v>
      </c>
      <c r="AG283" s="94">
        <f t="shared" si="291"/>
        <v>14727534.458229743</v>
      </c>
      <c r="AH283" s="94"/>
      <c r="AI283" s="130">
        <f t="shared" si="281"/>
        <v>8362294.0653828476</v>
      </c>
      <c r="AJ283" s="130"/>
      <c r="AK283" s="130">
        <f t="shared" si="282"/>
        <v>6312221.2687972672</v>
      </c>
      <c r="AL283" s="130"/>
      <c r="AM283" s="130">
        <f t="shared" si="283"/>
        <v>0</v>
      </c>
      <c r="AN283" s="130"/>
      <c r="AO283" s="130">
        <f t="shared" si="284"/>
        <v>0</v>
      </c>
      <c r="AP283" s="130"/>
      <c r="AQ283" s="130">
        <f t="shared" si="285"/>
        <v>0</v>
      </c>
      <c r="AR283" s="130"/>
      <c r="AS283" s="130">
        <f t="shared" si="286"/>
        <v>0</v>
      </c>
      <c r="AT283" s="130"/>
      <c r="AU283" s="130">
        <f t="shared" si="287"/>
        <v>0</v>
      </c>
      <c r="AV283" s="130"/>
      <c r="AW283" s="130">
        <f t="shared" si="288"/>
        <v>26509.562024813538</v>
      </c>
      <c r="AX283" s="130"/>
      <c r="AY283" s="130">
        <f t="shared" si="289"/>
        <v>26509.562024813538</v>
      </c>
      <c r="BA283" s="82">
        <f t="shared" si="240"/>
        <v>0</v>
      </c>
      <c r="BB283" s="67"/>
      <c r="BC283" s="67"/>
      <c r="BD283" s="67"/>
    </row>
    <row r="284" spans="1:56" s="340" customFormat="1" x14ac:dyDescent="0.2">
      <c r="A284" s="511"/>
      <c r="B284" s="512"/>
      <c r="C284" s="516"/>
      <c r="D284" s="273">
        <v>303.3</v>
      </c>
      <c r="E284" s="94"/>
      <c r="F284" s="97" t="s">
        <v>559</v>
      </c>
      <c r="G284" s="56"/>
      <c r="H284" s="64">
        <v>6</v>
      </c>
      <c r="J284" s="550">
        <v>277216.12000000005</v>
      </c>
      <c r="K284" s="265"/>
      <c r="L284" s="130">
        <f t="shared" si="273"/>
        <v>134144.88046800002</v>
      </c>
      <c r="M284" s="94"/>
      <c r="N284" s="130">
        <f t="shared" si="274"/>
        <v>86685.480724000008</v>
      </c>
      <c r="O284" s="94"/>
      <c r="P284" s="130">
        <f t="shared" si="275"/>
        <v>9591.6777520000014</v>
      </c>
      <c r="Q284" s="94"/>
      <c r="R284" s="130">
        <f t="shared" si="276"/>
        <v>23563.370200000001</v>
      </c>
      <c r="S284" s="94"/>
      <c r="T284" s="130">
        <f t="shared" si="277"/>
        <v>6486.8572080000013</v>
      </c>
      <c r="U284" s="94"/>
      <c r="V284" s="130">
        <f t="shared" si="278"/>
        <v>8094.710704000001</v>
      </c>
      <c r="W284" s="94"/>
      <c r="X284" s="130">
        <f t="shared" si="279"/>
        <v>8649.1429440000011</v>
      </c>
      <c r="Y284" s="94"/>
      <c r="Z284" s="94">
        <f t="shared" si="280"/>
        <v>0</v>
      </c>
      <c r="AC284" s="97" t="s">
        <v>559</v>
      </c>
      <c r="AE284" s="112">
        <f t="shared" si="290"/>
        <v>6</v>
      </c>
      <c r="AG284" s="94">
        <f t="shared" si="291"/>
        <v>277216.12000000005</v>
      </c>
      <c r="AH284" s="94"/>
      <c r="AI284" s="130">
        <f t="shared" si="281"/>
        <v>137538.27190427523</v>
      </c>
      <c r="AJ284" s="130"/>
      <c r="AK284" s="130">
        <f t="shared" si="282"/>
        <v>84634.081436000022</v>
      </c>
      <c r="AL284" s="130"/>
      <c r="AM284" s="130">
        <f t="shared" si="283"/>
        <v>38320.316118156807</v>
      </c>
      <c r="AN284" s="130"/>
      <c r="AO284" s="130">
        <f t="shared" si="284"/>
        <v>0</v>
      </c>
      <c r="AP284" s="130"/>
      <c r="AQ284" s="130">
        <f t="shared" si="285"/>
        <v>0</v>
      </c>
      <c r="AR284" s="130"/>
      <c r="AS284" s="130">
        <f t="shared" si="286"/>
        <v>0</v>
      </c>
      <c r="AT284" s="130"/>
      <c r="AU284" s="130">
        <f t="shared" si="287"/>
        <v>0</v>
      </c>
      <c r="AV284" s="130"/>
      <c r="AW284" s="130">
        <f t="shared" si="288"/>
        <v>8083.7551229376013</v>
      </c>
      <c r="AX284" s="130"/>
      <c r="AY284" s="130">
        <f t="shared" si="289"/>
        <v>8639.695418630401</v>
      </c>
      <c r="BA284" s="82">
        <f t="shared" si="240"/>
        <v>0</v>
      </c>
      <c r="BB284" s="67"/>
      <c r="BC284" s="67"/>
      <c r="BD284" s="67"/>
    </row>
    <row r="285" spans="1:56" s="340" customFormat="1" x14ac:dyDescent="0.2">
      <c r="A285" s="511"/>
      <c r="B285" s="512"/>
      <c r="C285" s="516"/>
      <c r="D285" s="273">
        <v>304.2</v>
      </c>
      <c r="E285" s="94"/>
      <c r="F285" s="97" t="s">
        <v>438</v>
      </c>
      <c r="G285" s="56"/>
      <c r="H285" s="64">
        <v>6</v>
      </c>
      <c r="J285" s="550">
        <v>6742245.6034282669</v>
      </c>
      <c r="K285" s="265"/>
      <c r="L285" s="130">
        <f t="shared" si="273"/>
        <v>3262572.6474989383</v>
      </c>
      <c r="M285" s="94"/>
      <c r="N285" s="130">
        <f t="shared" si="274"/>
        <v>2108300.2001920189</v>
      </c>
      <c r="O285" s="94"/>
      <c r="P285" s="130">
        <f t="shared" si="275"/>
        <v>233281.69787861803</v>
      </c>
      <c r="Q285" s="94"/>
      <c r="R285" s="130">
        <f t="shared" si="276"/>
        <v>573090.87629140262</v>
      </c>
      <c r="S285" s="94"/>
      <c r="T285" s="130">
        <f t="shared" si="277"/>
        <v>157768.54712022145</v>
      </c>
      <c r="U285" s="94"/>
      <c r="V285" s="130">
        <f t="shared" si="278"/>
        <v>196873.57162010539</v>
      </c>
      <c r="W285" s="94"/>
      <c r="X285" s="130">
        <f t="shared" si="279"/>
        <v>210358.06282696192</v>
      </c>
      <c r="Y285" s="94"/>
      <c r="Z285" s="94">
        <f t="shared" si="280"/>
        <v>0</v>
      </c>
      <c r="AC285" s="97" t="s">
        <v>438</v>
      </c>
      <c r="AE285" s="112">
        <f t="shared" si="290"/>
        <v>6</v>
      </c>
      <c r="AG285" s="94">
        <f t="shared" si="291"/>
        <v>6742245.6034282669</v>
      </c>
      <c r="AH285" s="94"/>
      <c r="AI285" s="130">
        <f t="shared" si="281"/>
        <v>3345104.2062406796</v>
      </c>
      <c r="AJ285" s="130"/>
      <c r="AK285" s="130">
        <f t="shared" si="282"/>
        <v>2058407.5827266499</v>
      </c>
      <c r="AL285" s="130"/>
      <c r="AM285" s="130">
        <f t="shared" si="283"/>
        <v>931998.40929028229</v>
      </c>
      <c r="AN285" s="130"/>
      <c r="AO285" s="130">
        <f t="shared" si="284"/>
        <v>0</v>
      </c>
      <c r="AP285" s="130"/>
      <c r="AQ285" s="130">
        <f t="shared" si="285"/>
        <v>0</v>
      </c>
      <c r="AR285" s="130"/>
      <c r="AS285" s="130">
        <f t="shared" si="286"/>
        <v>0</v>
      </c>
      <c r="AT285" s="130"/>
      <c r="AU285" s="130">
        <f t="shared" si="287"/>
        <v>0</v>
      </c>
      <c r="AV285" s="130"/>
      <c r="AW285" s="130">
        <f t="shared" si="288"/>
        <v>196607.11807385791</v>
      </c>
      <c r="AX285" s="130"/>
      <c r="AY285" s="130">
        <f t="shared" si="289"/>
        <v>210128.28709679708</v>
      </c>
      <c r="BA285" s="82">
        <f t="shared" si="240"/>
        <v>0</v>
      </c>
      <c r="BB285" s="67"/>
      <c r="BC285" s="67"/>
      <c r="BD285" s="67"/>
    </row>
    <row r="286" spans="1:56" s="340" customFormat="1" x14ac:dyDescent="0.2">
      <c r="A286" s="511"/>
      <c r="B286" s="512"/>
      <c r="C286" s="516"/>
      <c r="D286" s="273">
        <v>310</v>
      </c>
      <c r="E286" s="94"/>
      <c r="F286" s="97" t="s">
        <v>439</v>
      </c>
      <c r="G286" s="56"/>
      <c r="H286" s="64">
        <v>6</v>
      </c>
      <c r="J286" s="550">
        <v>6105577.2371826889</v>
      </c>
      <c r="K286" s="265"/>
      <c r="L286" s="130">
        <f t="shared" si="273"/>
        <v>2954488.825072703</v>
      </c>
      <c r="M286" s="94"/>
      <c r="N286" s="130">
        <f t="shared" si="274"/>
        <v>1909214.0020670267</v>
      </c>
      <c r="O286" s="94"/>
      <c r="P286" s="130">
        <f t="shared" si="275"/>
        <v>211252.97240652103</v>
      </c>
      <c r="Q286" s="94"/>
      <c r="R286" s="130">
        <f t="shared" si="276"/>
        <v>518974.06516052852</v>
      </c>
      <c r="S286" s="94"/>
      <c r="T286" s="130">
        <f t="shared" si="277"/>
        <v>142870.50735007491</v>
      </c>
      <c r="U286" s="94"/>
      <c r="V286" s="130">
        <f t="shared" si="278"/>
        <v>178282.8553257345</v>
      </c>
      <c r="W286" s="94"/>
      <c r="X286" s="130">
        <f t="shared" si="279"/>
        <v>190494.00980009988</v>
      </c>
      <c r="Y286" s="94"/>
      <c r="Z286" s="94">
        <f t="shared" si="280"/>
        <v>0</v>
      </c>
      <c r="AC286" s="97" t="s">
        <v>439</v>
      </c>
      <c r="AE286" s="112">
        <f t="shared" si="290"/>
        <v>6</v>
      </c>
      <c r="AG286" s="94">
        <f t="shared" si="291"/>
        <v>6105577.2371826889</v>
      </c>
      <c r="AH286" s="94"/>
      <c r="AI286" s="130">
        <f t="shared" si="281"/>
        <v>3029226.9518099669</v>
      </c>
      <c r="AJ286" s="130"/>
      <c r="AK286" s="130">
        <f t="shared" si="282"/>
        <v>1864032.7305118751</v>
      </c>
      <c r="AL286" s="130"/>
      <c r="AM286" s="130">
        <f t="shared" si="283"/>
        <v>843990.06021966913</v>
      </c>
      <c r="AN286" s="130"/>
      <c r="AO286" s="130">
        <f t="shared" si="284"/>
        <v>0</v>
      </c>
      <c r="AP286" s="130"/>
      <c r="AQ286" s="130">
        <f t="shared" si="285"/>
        <v>0</v>
      </c>
      <c r="AR286" s="130"/>
      <c r="AS286" s="130">
        <f t="shared" si="286"/>
        <v>0</v>
      </c>
      <c r="AT286" s="130"/>
      <c r="AU286" s="130">
        <f t="shared" si="287"/>
        <v>0</v>
      </c>
      <c r="AV286" s="130"/>
      <c r="AW286" s="130">
        <f t="shared" si="288"/>
        <v>178041.56291332105</v>
      </c>
      <c r="AX286" s="130"/>
      <c r="AY286" s="130">
        <f t="shared" si="289"/>
        <v>190285.93172785672</v>
      </c>
      <c r="BA286" s="82">
        <f t="shared" si="240"/>
        <v>0</v>
      </c>
      <c r="BB286" s="67"/>
      <c r="BC286" s="67"/>
      <c r="BD286" s="67"/>
    </row>
    <row r="287" spans="1:56" s="340" customFormat="1" x14ac:dyDescent="0.2">
      <c r="A287" s="511"/>
      <c r="B287" s="512"/>
      <c r="C287" s="516"/>
      <c r="D287" s="273">
        <v>311.2</v>
      </c>
      <c r="E287" s="94"/>
      <c r="F287" s="97" t="s">
        <v>440</v>
      </c>
      <c r="G287" s="56"/>
      <c r="H287" s="64">
        <v>6</v>
      </c>
      <c r="J287" s="550">
        <v>19251414.926423568</v>
      </c>
      <c r="K287" s="265"/>
      <c r="L287" s="130">
        <f t="shared" si="273"/>
        <v>9315759.6828963645</v>
      </c>
      <c r="M287" s="94"/>
      <c r="N287" s="130">
        <f t="shared" si="274"/>
        <v>6019917.4474926498</v>
      </c>
      <c r="O287" s="94"/>
      <c r="P287" s="130">
        <f t="shared" si="275"/>
        <v>666098.95645425539</v>
      </c>
      <c r="Q287" s="94"/>
      <c r="R287" s="130">
        <f t="shared" si="276"/>
        <v>1636370.268746003</v>
      </c>
      <c r="S287" s="94"/>
      <c r="T287" s="130">
        <f t="shared" si="277"/>
        <v>450483.10927831149</v>
      </c>
      <c r="U287" s="94"/>
      <c r="V287" s="130">
        <f t="shared" si="278"/>
        <v>562141.31585156813</v>
      </c>
      <c r="W287" s="94"/>
      <c r="X287" s="130">
        <f t="shared" si="279"/>
        <v>600644.14570441528</v>
      </c>
      <c r="Y287" s="94"/>
      <c r="Z287" s="94">
        <f t="shared" si="280"/>
        <v>0</v>
      </c>
      <c r="AC287" s="97" t="s">
        <v>440</v>
      </c>
      <c r="AE287" s="112">
        <f t="shared" si="290"/>
        <v>6</v>
      </c>
      <c r="AG287" s="94">
        <f t="shared" si="291"/>
        <v>19251414.926423568</v>
      </c>
      <c r="AH287" s="94"/>
      <c r="AI287" s="130">
        <f t="shared" si="281"/>
        <v>9551415.4829541184</v>
      </c>
      <c r="AJ287" s="130"/>
      <c r="AK287" s="130">
        <f t="shared" si="282"/>
        <v>5877456.977037116</v>
      </c>
      <c r="AL287" s="130"/>
      <c r="AM287" s="130">
        <f t="shared" si="283"/>
        <v>2661173.9090149356</v>
      </c>
      <c r="AN287" s="130"/>
      <c r="AO287" s="130">
        <f t="shared" si="284"/>
        <v>0</v>
      </c>
      <c r="AP287" s="130"/>
      <c r="AQ287" s="130">
        <f t="shared" si="285"/>
        <v>0</v>
      </c>
      <c r="AR287" s="130"/>
      <c r="AS287" s="130">
        <f t="shared" si="286"/>
        <v>0</v>
      </c>
      <c r="AT287" s="130"/>
      <c r="AU287" s="130">
        <f t="shared" si="287"/>
        <v>0</v>
      </c>
      <c r="AV287" s="130"/>
      <c r="AW287" s="130">
        <f t="shared" si="288"/>
        <v>561380.49993367586</v>
      </c>
      <c r="AX287" s="130"/>
      <c r="AY287" s="130">
        <f t="shared" si="289"/>
        <v>599988.05748372281</v>
      </c>
      <c r="BA287" s="82">
        <f t="shared" si="240"/>
        <v>0</v>
      </c>
      <c r="BB287" s="67"/>
      <c r="BC287" s="67"/>
      <c r="BD287" s="67"/>
    </row>
    <row r="288" spans="1:56" s="340" customFormat="1" x14ac:dyDescent="0.2">
      <c r="A288" s="511"/>
      <c r="B288" s="512"/>
      <c r="C288" s="516"/>
      <c r="D288" s="273">
        <v>311.2</v>
      </c>
      <c r="E288" s="94"/>
      <c r="F288" s="97" t="s">
        <v>441</v>
      </c>
      <c r="G288" s="56"/>
      <c r="H288" s="64">
        <v>6</v>
      </c>
      <c r="J288" s="550">
        <v>227184.9743249634</v>
      </c>
      <c r="K288" s="265"/>
      <c r="L288" s="130">
        <f t="shared" si="273"/>
        <v>109934.80907584979</v>
      </c>
      <c r="M288" s="94"/>
      <c r="N288" s="130">
        <f t="shared" si="274"/>
        <v>71040.741471416055</v>
      </c>
      <c r="O288" s="94"/>
      <c r="P288" s="130">
        <f t="shared" si="275"/>
        <v>7860.6001116437337</v>
      </c>
      <c r="Q288" s="94"/>
      <c r="R288" s="130">
        <f t="shared" si="276"/>
        <v>19310.722817621889</v>
      </c>
      <c r="S288" s="94"/>
      <c r="T288" s="130">
        <f t="shared" si="277"/>
        <v>5316.1283992041435</v>
      </c>
      <c r="U288" s="94"/>
      <c r="V288" s="130">
        <f t="shared" si="278"/>
        <v>6633.8012502889305</v>
      </c>
      <c r="W288" s="94"/>
      <c r="X288" s="130">
        <f t="shared" si="279"/>
        <v>7088.1711989388577</v>
      </c>
      <c r="Y288" s="94"/>
      <c r="Z288" s="94">
        <f t="shared" si="280"/>
        <v>0</v>
      </c>
      <c r="AC288" s="97" t="s">
        <v>441</v>
      </c>
      <c r="AE288" s="112">
        <f t="shared" si="290"/>
        <v>6</v>
      </c>
      <c r="AG288" s="94">
        <f t="shared" si="291"/>
        <v>227184.9743249634</v>
      </c>
      <c r="AH288" s="94"/>
      <c r="AI288" s="130">
        <f t="shared" si="281"/>
        <v>112715.77125916269</v>
      </c>
      <c r="AJ288" s="130"/>
      <c r="AK288" s="130">
        <f t="shared" si="282"/>
        <v>69359.572661411337</v>
      </c>
      <c r="AL288" s="130"/>
      <c r="AM288" s="130">
        <f t="shared" si="283"/>
        <v>31404.378769271909</v>
      </c>
      <c r="AN288" s="130"/>
      <c r="AO288" s="130">
        <f t="shared" si="284"/>
        <v>0</v>
      </c>
      <c r="AP288" s="130"/>
      <c r="AQ288" s="130">
        <f t="shared" si="285"/>
        <v>0</v>
      </c>
      <c r="AR288" s="130"/>
      <c r="AS288" s="130">
        <f t="shared" si="286"/>
        <v>0</v>
      </c>
      <c r="AT288" s="130"/>
      <c r="AU288" s="130">
        <f t="shared" si="287"/>
        <v>0</v>
      </c>
      <c r="AV288" s="130"/>
      <c r="AW288" s="130">
        <f t="shared" si="288"/>
        <v>6624.8229001036088</v>
      </c>
      <c r="AX288" s="130"/>
      <c r="AY288" s="130">
        <f t="shared" si="289"/>
        <v>7080.4287350138638</v>
      </c>
      <c r="BA288" s="82">
        <f t="shared" si="240"/>
        <v>0</v>
      </c>
      <c r="BB288" s="67"/>
      <c r="BC288" s="67"/>
      <c r="BD288" s="67"/>
    </row>
    <row r="289" spans="1:56" s="340" customFormat="1" x14ac:dyDescent="0.2">
      <c r="A289" s="511"/>
      <c r="B289" s="512"/>
      <c r="C289" s="516"/>
      <c r="D289" s="273">
        <v>311.39999999999998</v>
      </c>
      <c r="E289" s="94"/>
      <c r="F289" s="97" t="s">
        <v>560</v>
      </c>
      <c r="G289" s="56"/>
      <c r="H289" s="64">
        <v>6</v>
      </c>
      <c r="J289" s="550">
        <v>-2684.6466720000026</v>
      </c>
      <c r="K289" s="265"/>
      <c r="L289" s="130">
        <f t="shared" si="273"/>
        <v>-1299.1005245808012</v>
      </c>
      <c r="M289" s="94"/>
      <c r="N289" s="130">
        <f t="shared" si="274"/>
        <v>-839.48901433440074</v>
      </c>
      <c r="O289" s="94"/>
      <c r="P289" s="130">
        <f t="shared" si="275"/>
        <v>-92.888774851200083</v>
      </c>
      <c r="Q289" s="94"/>
      <c r="R289" s="130">
        <f t="shared" si="276"/>
        <v>-228.1949671200002</v>
      </c>
      <c r="S289" s="94"/>
      <c r="T289" s="130">
        <f t="shared" si="277"/>
        <v>-62.82073212480006</v>
      </c>
      <c r="U289" s="94"/>
      <c r="V289" s="130">
        <f t="shared" si="278"/>
        <v>-78.391682822400071</v>
      </c>
      <c r="W289" s="94"/>
      <c r="X289" s="130">
        <f t="shared" si="279"/>
        <v>-83.76097616640007</v>
      </c>
      <c r="Y289" s="94"/>
      <c r="Z289" s="94">
        <f t="shared" si="280"/>
        <v>0</v>
      </c>
      <c r="AC289" s="97" t="s">
        <v>560</v>
      </c>
      <c r="AE289" s="112">
        <f t="shared" si="290"/>
        <v>6</v>
      </c>
      <c r="AG289" s="94">
        <f t="shared" si="291"/>
        <v>-2684.6466720000026</v>
      </c>
      <c r="AH289" s="94"/>
      <c r="AI289" s="130">
        <f t="shared" si="281"/>
        <v>-1331.9631771068864</v>
      </c>
      <c r="AJ289" s="130"/>
      <c r="AK289" s="130">
        <f t="shared" si="282"/>
        <v>-819.62262896160087</v>
      </c>
      <c r="AL289" s="130"/>
      <c r="AM289" s="130">
        <f t="shared" si="283"/>
        <v>-371.10579693777441</v>
      </c>
      <c r="AN289" s="130"/>
      <c r="AO289" s="130">
        <f t="shared" si="284"/>
        <v>0</v>
      </c>
      <c r="AP289" s="130"/>
      <c r="AQ289" s="130">
        <f t="shared" si="285"/>
        <v>0</v>
      </c>
      <c r="AR289" s="130"/>
      <c r="AS289" s="130">
        <f t="shared" si="286"/>
        <v>0</v>
      </c>
      <c r="AT289" s="130"/>
      <c r="AU289" s="130">
        <f t="shared" si="287"/>
        <v>0</v>
      </c>
      <c r="AV289" s="130"/>
      <c r="AW289" s="130">
        <f t="shared" si="288"/>
        <v>-78.285585585922632</v>
      </c>
      <c r="AX289" s="130"/>
      <c r="AY289" s="130">
        <f t="shared" si="289"/>
        <v>-83.669483407818319</v>
      </c>
      <c r="BA289" s="82">
        <f t="shared" si="240"/>
        <v>0</v>
      </c>
      <c r="BB289" s="67"/>
      <c r="BC289" s="67"/>
      <c r="BD289" s="67"/>
    </row>
    <row r="290" spans="1:56" s="340" customFormat="1" x14ac:dyDescent="0.2">
      <c r="A290" s="511"/>
      <c r="B290" s="512"/>
      <c r="C290" s="516"/>
      <c r="D290" s="273">
        <v>311.5</v>
      </c>
      <c r="E290" s="94"/>
      <c r="F290" s="97" t="s">
        <v>561</v>
      </c>
      <c r="G290" s="56"/>
      <c r="H290" s="64">
        <v>6</v>
      </c>
      <c r="J290" s="550">
        <v>0</v>
      </c>
      <c r="K290" s="265"/>
      <c r="L290" s="130">
        <f t="shared" si="273"/>
        <v>0</v>
      </c>
      <c r="M290" s="94"/>
      <c r="N290" s="130">
        <f t="shared" si="274"/>
        <v>0</v>
      </c>
      <c r="O290" s="94"/>
      <c r="P290" s="130">
        <f t="shared" si="275"/>
        <v>0</v>
      </c>
      <c r="Q290" s="94"/>
      <c r="R290" s="130">
        <f t="shared" si="276"/>
        <v>0</v>
      </c>
      <c r="S290" s="94"/>
      <c r="T290" s="130">
        <f t="shared" si="277"/>
        <v>0</v>
      </c>
      <c r="U290" s="94"/>
      <c r="V290" s="130">
        <f t="shared" si="278"/>
        <v>0</v>
      </c>
      <c r="W290" s="94"/>
      <c r="X290" s="130">
        <f t="shared" si="279"/>
        <v>0</v>
      </c>
      <c r="Y290" s="94"/>
      <c r="Z290" s="94">
        <f t="shared" si="280"/>
        <v>0</v>
      </c>
      <c r="AC290" s="97" t="s">
        <v>561</v>
      </c>
      <c r="AE290" s="112">
        <f t="shared" si="290"/>
        <v>6</v>
      </c>
      <c r="AG290" s="94">
        <f t="shared" si="291"/>
        <v>0</v>
      </c>
      <c r="AH290" s="94"/>
      <c r="AI290" s="130">
        <f t="shared" si="281"/>
        <v>0</v>
      </c>
      <c r="AJ290" s="130"/>
      <c r="AK290" s="130">
        <f t="shared" si="282"/>
        <v>0</v>
      </c>
      <c r="AL290" s="130"/>
      <c r="AM290" s="130">
        <f t="shared" si="283"/>
        <v>0</v>
      </c>
      <c r="AN290" s="130"/>
      <c r="AO290" s="130">
        <f t="shared" si="284"/>
        <v>0</v>
      </c>
      <c r="AP290" s="130"/>
      <c r="AQ290" s="130">
        <f t="shared" si="285"/>
        <v>0</v>
      </c>
      <c r="AR290" s="130"/>
      <c r="AS290" s="130">
        <f t="shared" si="286"/>
        <v>0</v>
      </c>
      <c r="AT290" s="130"/>
      <c r="AU290" s="130">
        <f t="shared" si="287"/>
        <v>0</v>
      </c>
      <c r="AV290" s="130"/>
      <c r="AW290" s="130">
        <f t="shared" si="288"/>
        <v>0</v>
      </c>
      <c r="AX290" s="130"/>
      <c r="AY290" s="130">
        <f t="shared" si="289"/>
        <v>0</v>
      </c>
      <c r="BA290" s="82">
        <f t="shared" si="240"/>
        <v>0</v>
      </c>
      <c r="BB290" s="67"/>
      <c r="BC290" s="67"/>
      <c r="BD290" s="67"/>
    </row>
    <row r="291" spans="1:56" s="340" customFormat="1" x14ac:dyDescent="0.2">
      <c r="A291" s="511"/>
      <c r="B291" s="512"/>
      <c r="C291" s="516"/>
      <c r="D291" s="273">
        <v>303.39999999999998</v>
      </c>
      <c r="E291" s="94"/>
      <c r="F291" s="97" t="s">
        <v>645</v>
      </c>
      <c r="G291" s="56"/>
      <c r="H291" s="64">
        <v>2</v>
      </c>
      <c r="J291" s="550">
        <v>800183.34</v>
      </c>
      <c r="K291" s="265"/>
      <c r="L291" s="130">
        <f t="shared" si="273"/>
        <v>401051.89000799996</v>
      </c>
      <c r="M291" s="94"/>
      <c r="N291" s="130">
        <f t="shared" si="274"/>
        <v>258299.18215199996</v>
      </c>
      <c r="O291" s="94"/>
      <c r="P291" s="130">
        <f t="shared" si="275"/>
        <v>38008.70865</v>
      </c>
      <c r="Q291" s="94"/>
      <c r="R291" s="130">
        <f t="shared" si="276"/>
        <v>73696.885613999999</v>
      </c>
      <c r="S291" s="94"/>
      <c r="T291" s="130">
        <f t="shared" si="277"/>
        <v>26246.013551999997</v>
      </c>
      <c r="U291" s="94"/>
      <c r="V291" s="130">
        <f t="shared" si="278"/>
        <v>1440.3300119999999</v>
      </c>
      <c r="W291" s="94"/>
      <c r="X291" s="130">
        <f t="shared" si="279"/>
        <v>1440.3300119999999</v>
      </c>
      <c r="Y291" s="94"/>
      <c r="Z291" s="94">
        <f t="shared" si="280"/>
        <v>0</v>
      </c>
      <c r="AC291" s="97" t="s">
        <v>563</v>
      </c>
      <c r="AE291" s="112">
        <f t="shared" si="290"/>
        <v>2</v>
      </c>
      <c r="AG291" s="94">
        <f t="shared" si="291"/>
        <v>800183.34</v>
      </c>
      <c r="AH291" s="94"/>
      <c r="AI291" s="130">
        <f t="shared" si="281"/>
        <v>454344.10045199998</v>
      </c>
      <c r="AJ291" s="130"/>
      <c r="AK291" s="130">
        <f t="shared" si="282"/>
        <v>342958.57952399994</v>
      </c>
      <c r="AL291" s="130"/>
      <c r="AM291" s="130">
        <f t="shared" si="283"/>
        <v>0</v>
      </c>
      <c r="AN291" s="130"/>
      <c r="AO291" s="130">
        <f t="shared" si="284"/>
        <v>0</v>
      </c>
      <c r="AP291" s="130"/>
      <c r="AQ291" s="130">
        <f t="shared" si="285"/>
        <v>0</v>
      </c>
      <c r="AR291" s="130"/>
      <c r="AS291" s="130">
        <f t="shared" si="286"/>
        <v>0</v>
      </c>
      <c r="AT291" s="130"/>
      <c r="AU291" s="130">
        <f t="shared" si="287"/>
        <v>0</v>
      </c>
      <c r="AV291" s="130"/>
      <c r="AW291" s="130">
        <f t="shared" si="288"/>
        <v>1440.3300119999999</v>
      </c>
      <c r="AX291" s="130"/>
      <c r="AY291" s="130">
        <f t="shared" si="289"/>
        <v>1440.3300119999999</v>
      </c>
      <c r="BA291" s="82">
        <f t="shared" si="240"/>
        <v>0</v>
      </c>
      <c r="BB291" s="67"/>
      <c r="BC291" s="67"/>
      <c r="BD291" s="67"/>
    </row>
    <row r="292" spans="1:56" s="340" customFormat="1" x14ac:dyDescent="0.2">
      <c r="A292" s="511"/>
      <c r="B292" s="512"/>
      <c r="C292" s="516"/>
      <c r="D292" s="273">
        <v>304.3</v>
      </c>
      <c r="E292" s="94"/>
      <c r="F292" s="97" t="s">
        <v>443</v>
      </c>
      <c r="G292" s="56"/>
      <c r="H292" s="64">
        <v>2</v>
      </c>
      <c r="J292" s="550">
        <v>37259428.051733099</v>
      </c>
      <c r="K292" s="265"/>
      <c r="L292" s="130">
        <f t="shared" si="273"/>
        <v>18674425.339528628</v>
      </c>
      <c r="M292" s="94"/>
      <c r="N292" s="130">
        <f t="shared" si="274"/>
        <v>12027343.375099443</v>
      </c>
      <c r="O292" s="94"/>
      <c r="P292" s="130">
        <f t="shared" si="275"/>
        <v>1769822.8324573222</v>
      </c>
      <c r="Q292" s="94"/>
      <c r="R292" s="130">
        <f t="shared" si="276"/>
        <v>3431593.3235646184</v>
      </c>
      <c r="S292" s="94"/>
      <c r="T292" s="130">
        <f t="shared" si="277"/>
        <v>1222109.2400968454</v>
      </c>
      <c r="U292" s="94"/>
      <c r="V292" s="130">
        <f t="shared" si="278"/>
        <v>67066.970493119574</v>
      </c>
      <c r="W292" s="94"/>
      <c r="X292" s="130">
        <f t="shared" si="279"/>
        <v>67066.970493119574</v>
      </c>
      <c r="Y292" s="94"/>
      <c r="Z292" s="94">
        <f t="shared" si="280"/>
        <v>0</v>
      </c>
      <c r="AC292" s="97" t="s">
        <v>443</v>
      </c>
      <c r="AE292" s="112">
        <f t="shared" si="290"/>
        <v>2</v>
      </c>
      <c r="AG292" s="94">
        <f t="shared" si="291"/>
        <v>37259428.051733099</v>
      </c>
      <c r="AH292" s="94"/>
      <c r="AI292" s="130">
        <f t="shared" si="281"/>
        <v>21155903.247774053</v>
      </c>
      <c r="AJ292" s="130"/>
      <c r="AK292" s="130">
        <f t="shared" si="282"/>
        <v>15969390.862972805</v>
      </c>
      <c r="AL292" s="130"/>
      <c r="AM292" s="130">
        <f t="shared" si="283"/>
        <v>0</v>
      </c>
      <c r="AN292" s="130"/>
      <c r="AO292" s="130">
        <f t="shared" si="284"/>
        <v>0</v>
      </c>
      <c r="AP292" s="130"/>
      <c r="AQ292" s="130">
        <f t="shared" si="285"/>
        <v>0</v>
      </c>
      <c r="AR292" s="130"/>
      <c r="AS292" s="130">
        <f t="shared" si="286"/>
        <v>0</v>
      </c>
      <c r="AT292" s="130"/>
      <c r="AU292" s="130">
        <f t="shared" si="287"/>
        <v>0</v>
      </c>
      <c r="AV292" s="130"/>
      <c r="AW292" s="130">
        <f t="shared" si="288"/>
        <v>67066.970493119574</v>
      </c>
      <c r="AX292" s="130"/>
      <c r="AY292" s="130">
        <f t="shared" si="289"/>
        <v>67066.970493119574</v>
      </c>
      <c r="BA292" s="82">
        <f t="shared" si="240"/>
        <v>0</v>
      </c>
      <c r="BB292" s="67"/>
      <c r="BC292" s="67"/>
      <c r="BD292" s="67"/>
    </row>
    <row r="293" spans="1:56" s="340" customFormat="1" x14ac:dyDescent="0.2">
      <c r="A293" s="511"/>
      <c r="B293" s="512"/>
      <c r="C293" s="516"/>
      <c r="D293" s="273">
        <v>311.52999999999997</v>
      </c>
      <c r="E293" s="94"/>
      <c r="F293" s="97" t="s">
        <v>567</v>
      </c>
      <c r="G293" s="56"/>
      <c r="H293" s="64">
        <v>2</v>
      </c>
      <c r="J293" s="550">
        <v>645648.07143599994</v>
      </c>
      <c r="K293" s="265"/>
      <c r="L293" s="130">
        <f t="shared" si="273"/>
        <v>323598.81340372318</v>
      </c>
      <c r="M293" s="94"/>
      <c r="N293" s="130">
        <f t="shared" si="274"/>
        <v>208415.19745954077</v>
      </c>
      <c r="O293" s="94"/>
      <c r="P293" s="130">
        <f t="shared" si="275"/>
        <v>30668.283393209997</v>
      </c>
      <c r="Q293" s="94"/>
      <c r="R293" s="130">
        <f t="shared" si="276"/>
        <v>59464.187379255593</v>
      </c>
      <c r="S293" s="94"/>
      <c r="T293" s="130">
        <f t="shared" si="277"/>
        <v>21177.256743100796</v>
      </c>
      <c r="U293" s="94"/>
      <c r="V293" s="130">
        <f t="shared" si="278"/>
        <v>1162.1665285847998</v>
      </c>
      <c r="W293" s="94"/>
      <c r="X293" s="130">
        <f t="shared" si="279"/>
        <v>1162.1665285847998</v>
      </c>
      <c r="Y293" s="94"/>
      <c r="Z293" s="94">
        <f t="shared" si="280"/>
        <v>0</v>
      </c>
      <c r="AC293" s="97" t="s">
        <v>567</v>
      </c>
      <c r="AE293" s="112">
        <f t="shared" si="290"/>
        <v>2</v>
      </c>
      <c r="AG293" s="94">
        <f t="shared" si="291"/>
        <v>645648.07143599994</v>
      </c>
      <c r="AH293" s="94"/>
      <c r="AI293" s="130">
        <f t="shared" si="281"/>
        <v>366598.97496136074</v>
      </c>
      <c r="AJ293" s="130"/>
      <c r="AK293" s="130">
        <f t="shared" si="282"/>
        <v>276724.76341746957</v>
      </c>
      <c r="AL293" s="130"/>
      <c r="AM293" s="130">
        <f t="shared" si="283"/>
        <v>0</v>
      </c>
      <c r="AN293" s="130"/>
      <c r="AO293" s="130">
        <f t="shared" si="284"/>
        <v>0</v>
      </c>
      <c r="AP293" s="130"/>
      <c r="AQ293" s="130">
        <f t="shared" si="285"/>
        <v>0</v>
      </c>
      <c r="AR293" s="130"/>
      <c r="AS293" s="130">
        <f t="shared" si="286"/>
        <v>0</v>
      </c>
      <c r="AT293" s="130"/>
      <c r="AU293" s="130">
        <f t="shared" si="287"/>
        <v>0</v>
      </c>
      <c r="AV293" s="130"/>
      <c r="AW293" s="130">
        <f t="shared" si="288"/>
        <v>1162.1665285847998</v>
      </c>
      <c r="AX293" s="130"/>
      <c r="AY293" s="130">
        <f t="shared" si="289"/>
        <v>1162.1665285847998</v>
      </c>
      <c r="BA293" s="82">
        <f t="shared" si="240"/>
        <v>0</v>
      </c>
      <c r="BB293" s="67"/>
      <c r="BC293" s="67"/>
      <c r="BD293" s="67"/>
    </row>
    <row r="294" spans="1:56" s="340" customFormat="1" x14ac:dyDescent="0.2">
      <c r="A294" s="511"/>
      <c r="B294" s="512"/>
      <c r="C294" s="516"/>
      <c r="D294" s="273">
        <v>320.10000000000002</v>
      </c>
      <c r="E294" s="94"/>
      <c r="F294" s="97" t="s">
        <v>564</v>
      </c>
      <c r="G294" s="56"/>
      <c r="H294" s="64">
        <v>2</v>
      </c>
      <c r="J294" s="550">
        <v>48554579.510200955</v>
      </c>
      <c r="K294" s="265"/>
      <c r="L294" s="130">
        <f t="shared" si="273"/>
        <v>24335555.250512719</v>
      </c>
      <c r="M294" s="94"/>
      <c r="N294" s="130">
        <f t="shared" si="274"/>
        <v>15673418.265892867</v>
      </c>
      <c r="O294" s="94"/>
      <c r="P294" s="130">
        <f t="shared" si="275"/>
        <v>2306342.5267345454</v>
      </c>
      <c r="Q294" s="94"/>
      <c r="R294" s="130">
        <f t="shared" si="276"/>
        <v>4471876.7728895079</v>
      </c>
      <c r="S294" s="94"/>
      <c r="T294" s="130">
        <f t="shared" si="277"/>
        <v>1592590.2079345912</v>
      </c>
      <c r="U294" s="94"/>
      <c r="V294" s="130">
        <f t="shared" si="278"/>
        <v>87398.243118361715</v>
      </c>
      <c r="W294" s="94"/>
      <c r="X294" s="130">
        <f t="shared" si="279"/>
        <v>87398.243118361715</v>
      </c>
      <c r="Y294" s="94"/>
      <c r="Z294" s="94">
        <f t="shared" si="280"/>
        <v>0</v>
      </c>
      <c r="AC294" s="97" t="s">
        <v>564</v>
      </c>
      <c r="AE294" s="112">
        <f t="shared" si="290"/>
        <v>2</v>
      </c>
      <c r="AG294" s="94">
        <f t="shared" si="291"/>
        <v>48554579.510200955</v>
      </c>
      <c r="AH294" s="94"/>
      <c r="AI294" s="130">
        <f t="shared" si="281"/>
        <v>27569290.2458921</v>
      </c>
      <c r="AJ294" s="130"/>
      <c r="AK294" s="130">
        <f t="shared" si="282"/>
        <v>20810492.77807213</v>
      </c>
      <c r="AL294" s="130"/>
      <c r="AM294" s="130">
        <f t="shared" si="283"/>
        <v>0</v>
      </c>
      <c r="AN294" s="130"/>
      <c r="AO294" s="130">
        <f t="shared" si="284"/>
        <v>0</v>
      </c>
      <c r="AP294" s="130"/>
      <c r="AQ294" s="130">
        <f t="shared" si="285"/>
        <v>0</v>
      </c>
      <c r="AR294" s="130"/>
      <c r="AS294" s="130">
        <f t="shared" si="286"/>
        <v>0</v>
      </c>
      <c r="AT294" s="130"/>
      <c r="AU294" s="130">
        <f t="shared" si="287"/>
        <v>0</v>
      </c>
      <c r="AV294" s="130"/>
      <c r="AW294" s="130">
        <f t="shared" si="288"/>
        <v>87398.243118361715</v>
      </c>
      <c r="AX294" s="130"/>
      <c r="AY294" s="130">
        <f t="shared" si="289"/>
        <v>87398.243118361715</v>
      </c>
      <c r="BA294" s="82">
        <f t="shared" si="240"/>
        <v>0</v>
      </c>
      <c r="BB294" s="67"/>
      <c r="BC294" s="67"/>
      <c r="BD294" s="67"/>
    </row>
    <row r="295" spans="1:56" s="340" customFormat="1" x14ac:dyDescent="0.2">
      <c r="A295" s="511"/>
      <c r="B295" s="512"/>
      <c r="C295" s="516"/>
      <c r="D295" s="273">
        <v>320.2</v>
      </c>
      <c r="E295" s="94"/>
      <c r="F295" s="97" t="s">
        <v>565</v>
      </c>
      <c r="G295" s="56"/>
      <c r="H295" s="64">
        <v>2</v>
      </c>
      <c r="J295" s="550">
        <v>293280.86047306721</v>
      </c>
      <c r="K295" s="265"/>
      <c r="L295" s="130">
        <f t="shared" si="273"/>
        <v>146992.36726910129</v>
      </c>
      <c r="M295" s="94"/>
      <c r="N295" s="130">
        <f t="shared" si="274"/>
        <v>94671.061760706085</v>
      </c>
      <c r="O295" s="94"/>
      <c r="P295" s="130">
        <f t="shared" si="275"/>
        <v>13930.840872470693</v>
      </c>
      <c r="Q295" s="94"/>
      <c r="R295" s="130">
        <f t="shared" si="276"/>
        <v>27011.167249569491</v>
      </c>
      <c r="S295" s="94"/>
      <c r="T295" s="130">
        <f t="shared" si="277"/>
        <v>9619.612223516604</v>
      </c>
      <c r="U295" s="94"/>
      <c r="V295" s="130">
        <f t="shared" si="278"/>
        <v>527.90554885152096</v>
      </c>
      <c r="W295" s="94"/>
      <c r="X295" s="130">
        <f t="shared" si="279"/>
        <v>527.90554885152096</v>
      </c>
      <c r="Y295" s="94"/>
      <c r="Z295" s="94">
        <f t="shared" si="280"/>
        <v>0</v>
      </c>
      <c r="AC295" s="97" t="s">
        <v>565</v>
      </c>
      <c r="AE295" s="112">
        <f t="shared" si="290"/>
        <v>2</v>
      </c>
      <c r="AG295" s="94">
        <f t="shared" si="291"/>
        <v>293280.86047306721</v>
      </c>
      <c r="AH295" s="94"/>
      <c r="AI295" s="130">
        <f t="shared" si="281"/>
        <v>166524.87257660757</v>
      </c>
      <c r="AJ295" s="130"/>
      <c r="AK295" s="130">
        <f t="shared" si="282"/>
        <v>125700.1767987566</v>
      </c>
      <c r="AL295" s="130"/>
      <c r="AM295" s="130">
        <f t="shared" si="283"/>
        <v>0</v>
      </c>
      <c r="AN295" s="130"/>
      <c r="AO295" s="130">
        <f t="shared" si="284"/>
        <v>0</v>
      </c>
      <c r="AP295" s="130"/>
      <c r="AQ295" s="130">
        <f t="shared" si="285"/>
        <v>0</v>
      </c>
      <c r="AR295" s="130"/>
      <c r="AS295" s="130">
        <f t="shared" si="286"/>
        <v>0</v>
      </c>
      <c r="AT295" s="130"/>
      <c r="AU295" s="130">
        <f t="shared" si="287"/>
        <v>0</v>
      </c>
      <c r="AV295" s="130"/>
      <c r="AW295" s="130">
        <f t="shared" si="288"/>
        <v>527.90554885152096</v>
      </c>
      <c r="AX295" s="130"/>
      <c r="AY295" s="130">
        <f t="shared" si="289"/>
        <v>527.90554885152096</v>
      </c>
      <c r="BA295" s="82">
        <f t="shared" si="240"/>
        <v>0</v>
      </c>
      <c r="BB295" s="67"/>
      <c r="BC295" s="67"/>
      <c r="BD295" s="67"/>
    </row>
    <row r="296" spans="1:56" s="340" customFormat="1" x14ac:dyDescent="0.2">
      <c r="A296" s="511"/>
      <c r="B296" s="512"/>
      <c r="C296" s="516"/>
      <c r="D296" s="273">
        <v>303.5</v>
      </c>
      <c r="E296" s="94"/>
      <c r="F296" s="97" t="s">
        <v>566</v>
      </c>
      <c r="G296" s="56"/>
      <c r="H296" s="64">
        <v>7</v>
      </c>
      <c r="J296" s="550">
        <v>7564215.4398668343</v>
      </c>
      <c r="K296" s="265"/>
      <c r="L296" s="130">
        <f t="shared" si="273"/>
        <v>3612669.2940804004</v>
      </c>
      <c r="M296" s="94"/>
      <c r="N296" s="130">
        <f t="shared" si="274"/>
        <v>2348688.8940786519</v>
      </c>
      <c r="O296" s="94"/>
      <c r="P296" s="130">
        <f t="shared" si="275"/>
        <v>92283.428366375389</v>
      </c>
      <c r="Q296" s="94"/>
      <c r="R296" s="130">
        <f t="shared" si="276"/>
        <v>576393.21651785285</v>
      </c>
      <c r="S296" s="94"/>
      <c r="T296" s="130">
        <f t="shared" si="277"/>
        <v>50680.243447107794</v>
      </c>
      <c r="U296" s="94"/>
      <c r="V296" s="130">
        <f t="shared" si="278"/>
        <v>427378.17235247616</v>
      </c>
      <c r="W296" s="94"/>
      <c r="X296" s="130">
        <f t="shared" si="279"/>
        <v>456122.19102397008</v>
      </c>
      <c r="Y296" s="94"/>
      <c r="Z296" s="94">
        <f t="shared" si="280"/>
        <v>0</v>
      </c>
      <c r="AC296" s="97" t="s">
        <v>566</v>
      </c>
      <c r="AE296" s="112">
        <f t="shared" si="290"/>
        <v>7</v>
      </c>
      <c r="AG296" s="94">
        <f t="shared" si="291"/>
        <v>7564215.4398668343</v>
      </c>
      <c r="AH296" s="94"/>
      <c r="AI296" s="130">
        <f t="shared" si="281"/>
        <v>2926594.9536844785</v>
      </c>
      <c r="AJ296" s="130"/>
      <c r="AK296" s="130">
        <f t="shared" si="282"/>
        <v>663381.69407632132</v>
      </c>
      <c r="AL296" s="130"/>
      <c r="AM296" s="130">
        <f t="shared" si="283"/>
        <v>3090738.4287295886</v>
      </c>
      <c r="AN296" s="130"/>
      <c r="AO296" s="130">
        <f t="shared" si="284"/>
        <v>0</v>
      </c>
      <c r="AP296" s="130"/>
      <c r="AQ296" s="130">
        <f t="shared" si="285"/>
        <v>0</v>
      </c>
      <c r="AR296" s="130"/>
      <c r="AS296" s="130">
        <f t="shared" si="286"/>
        <v>0</v>
      </c>
      <c r="AT296" s="130"/>
      <c r="AU296" s="130">
        <f t="shared" si="287"/>
        <v>0</v>
      </c>
      <c r="AV296" s="130"/>
      <c r="AW296" s="130">
        <f t="shared" si="288"/>
        <v>427378.17235247616</v>
      </c>
      <c r="AX296" s="130"/>
      <c r="AY296" s="130">
        <f t="shared" si="289"/>
        <v>456122.19102397008</v>
      </c>
      <c r="BA296" s="82">
        <f t="shared" si="240"/>
        <v>0</v>
      </c>
      <c r="BB296" s="67"/>
      <c r="BC296" s="67"/>
      <c r="BD296" s="67"/>
    </row>
    <row r="297" spans="1:56" s="340" customFormat="1" x14ac:dyDescent="0.2">
      <c r="A297" s="511"/>
      <c r="B297" s="512"/>
      <c r="C297" s="516"/>
      <c r="D297" s="273">
        <v>304.39999999999998</v>
      </c>
      <c r="E297" s="94"/>
      <c r="F297" s="97" t="s">
        <v>446</v>
      </c>
      <c r="G297" s="56"/>
      <c r="H297" s="64">
        <v>7</v>
      </c>
      <c r="J297" s="550">
        <v>819515.98739535885</v>
      </c>
      <c r="K297" s="265"/>
      <c r="L297" s="130">
        <f t="shared" si="273"/>
        <v>391400.83558002341</v>
      </c>
      <c r="M297" s="94"/>
      <c r="N297" s="130">
        <f t="shared" si="274"/>
        <v>254459.71408625893</v>
      </c>
      <c r="O297" s="94"/>
      <c r="P297" s="130">
        <f t="shared" si="275"/>
        <v>9998.0950462233795</v>
      </c>
      <c r="Q297" s="94"/>
      <c r="R297" s="130">
        <f t="shared" si="276"/>
        <v>62447.118239526346</v>
      </c>
      <c r="S297" s="94"/>
      <c r="T297" s="130">
        <f t="shared" si="277"/>
        <v>5490.7571155489049</v>
      </c>
      <c r="U297" s="94"/>
      <c r="V297" s="130">
        <f t="shared" si="278"/>
        <v>46302.653287837777</v>
      </c>
      <c r="W297" s="94"/>
      <c r="X297" s="130">
        <f t="shared" si="279"/>
        <v>49416.814039940131</v>
      </c>
      <c r="Y297" s="94"/>
      <c r="Z297" s="94">
        <f t="shared" si="280"/>
        <v>0</v>
      </c>
      <c r="AC297" s="97" t="s">
        <v>446</v>
      </c>
      <c r="AE297" s="112">
        <f t="shared" si="290"/>
        <v>7</v>
      </c>
      <c r="AG297" s="94">
        <f t="shared" si="291"/>
        <v>819515.98739535885</v>
      </c>
      <c r="AH297" s="94"/>
      <c r="AI297" s="130">
        <f t="shared" si="281"/>
        <v>317070.73552326433</v>
      </c>
      <c r="AJ297" s="130"/>
      <c r="AK297" s="130">
        <f t="shared" si="282"/>
        <v>71871.552094572966</v>
      </c>
      <c r="AL297" s="130"/>
      <c r="AM297" s="130">
        <f t="shared" si="283"/>
        <v>334854.23244974366</v>
      </c>
      <c r="AN297" s="130"/>
      <c r="AO297" s="130">
        <f t="shared" si="284"/>
        <v>0</v>
      </c>
      <c r="AP297" s="130"/>
      <c r="AQ297" s="130">
        <f t="shared" si="285"/>
        <v>0</v>
      </c>
      <c r="AR297" s="130"/>
      <c r="AS297" s="130">
        <f t="shared" si="286"/>
        <v>0</v>
      </c>
      <c r="AT297" s="130"/>
      <c r="AU297" s="130">
        <f t="shared" si="287"/>
        <v>0</v>
      </c>
      <c r="AV297" s="130"/>
      <c r="AW297" s="130">
        <f t="shared" si="288"/>
        <v>46302.653287837777</v>
      </c>
      <c r="AX297" s="130"/>
      <c r="AY297" s="130">
        <f t="shared" si="289"/>
        <v>49416.814039940131</v>
      </c>
      <c r="BA297" s="82">
        <f t="shared" si="240"/>
        <v>0</v>
      </c>
      <c r="BB297" s="67"/>
      <c r="BC297" s="67"/>
      <c r="BD297" s="67"/>
    </row>
    <row r="298" spans="1:56" s="340" customFormat="1" x14ac:dyDescent="0.2">
      <c r="A298" s="511"/>
      <c r="B298" s="512"/>
      <c r="C298" s="516"/>
      <c r="D298" s="273">
        <v>311.54000000000002</v>
      </c>
      <c r="E298" s="94"/>
      <c r="F298" s="97" t="s">
        <v>576</v>
      </c>
      <c r="G298" s="56"/>
      <c r="H298" s="64">
        <v>7</v>
      </c>
      <c r="J298" s="550">
        <v>1662445.0444687302</v>
      </c>
      <c r="K298" s="265"/>
      <c r="L298" s="130">
        <f t="shared" si="273"/>
        <v>793983.75323826564</v>
      </c>
      <c r="M298" s="94"/>
      <c r="N298" s="130">
        <f t="shared" si="274"/>
        <v>516189.18630754075</v>
      </c>
      <c r="O298" s="94"/>
      <c r="P298" s="130">
        <f t="shared" si="275"/>
        <v>20281.82954251851</v>
      </c>
      <c r="Q298" s="94"/>
      <c r="R298" s="130">
        <f t="shared" si="276"/>
        <v>126678.31238851725</v>
      </c>
      <c r="S298" s="94"/>
      <c r="T298" s="130">
        <f t="shared" si="277"/>
        <v>11138.381797940492</v>
      </c>
      <c r="U298" s="94"/>
      <c r="V298" s="130">
        <f t="shared" si="278"/>
        <v>93928.145012483263</v>
      </c>
      <c r="W298" s="94"/>
      <c r="X298" s="130">
        <f t="shared" si="279"/>
        <v>100245.43618146442</v>
      </c>
      <c r="Y298" s="94"/>
      <c r="Z298" s="94">
        <f t="shared" si="280"/>
        <v>0</v>
      </c>
      <c r="AC298" s="97" t="s">
        <v>576</v>
      </c>
      <c r="AE298" s="112">
        <f t="shared" si="290"/>
        <v>7</v>
      </c>
      <c r="AG298" s="94">
        <f t="shared" si="291"/>
        <v>1662445.0444687302</v>
      </c>
      <c r="AH298" s="94"/>
      <c r="AI298" s="130">
        <f t="shared" si="281"/>
        <v>643199.98770495178</v>
      </c>
      <c r="AJ298" s="130"/>
      <c r="AK298" s="130">
        <f t="shared" si="282"/>
        <v>145796.43039990764</v>
      </c>
      <c r="AL298" s="130"/>
      <c r="AM298" s="130">
        <f t="shared" si="283"/>
        <v>679275.04516992322</v>
      </c>
      <c r="AN298" s="130"/>
      <c r="AO298" s="130">
        <f t="shared" si="284"/>
        <v>0</v>
      </c>
      <c r="AP298" s="130"/>
      <c r="AQ298" s="130">
        <f t="shared" si="285"/>
        <v>0</v>
      </c>
      <c r="AR298" s="130"/>
      <c r="AS298" s="130">
        <f t="shared" si="286"/>
        <v>0</v>
      </c>
      <c r="AT298" s="130"/>
      <c r="AU298" s="130">
        <f t="shared" si="287"/>
        <v>0</v>
      </c>
      <c r="AV298" s="130"/>
      <c r="AW298" s="130">
        <f t="shared" si="288"/>
        <v>93928.145012483263</v>
      </c>
      <c r="AX298" s="130"/>
      <c r="AY298" s="130">
        <f t="shared" si="289"/>
        <v>100245.43618146442</v>
      </c>
      <c r="BA298" s="82">
        <f t="shared" si="240"/>
        <v>0</v>
      </c>
      <c r="BB298" s="67"/>
      <c r="BC298" s="67"/>
      <c r="BD298" s="67"/>
    </row>
    <row r="299" spans="1:56" s="340" customFormat="1" x14ac:dyDescent="0.2">
      <c r="A299" s="511"/>
      <c r="B299" s="512"/>
      <c r="C299" s="516"/>
      <c r="D299" s="273">
        <v>330</v>
      </c>
      <c r="E299" s="94"/>
      <c r="F299" s="97" t="s">
        <v>447</v>
      </c>
      <c r="G299" s="56"/>
      <c r="H299" s="64">
        <v>5</v>
      </c>
      <c r="J299" s="550">
        <v>14063816.304650567</v>
      </c>
      <c r="K299" s="265"/>
      <c r="L299" s="130">
        <f t="shared" si="273"/>
        <v>5646622.2463172022</v>
      </c>
      <c r="M299" s="94"/>
      <c r="N299" s="130">
        <f t="shared" si="274"/>
        <v>3680500.7269270532</v>
      </c>
      <c r="O299" s="94"/>
      <c r="P299" s="130">
        <f t="shared" si="275"/>
        <v>465512.31968393386</v>
      </c>
      <c r="Q299" s="94"/>
      <c r="R299" s="130">
        <f t="shared" si="276"/>
        <v>859299.17621414969</v>
      </c>
      <c r="S299" s="94"/>
      <c r="T299" s="130">
        <f t="shared" si="277"/>
        <v>286901.85261487158</v>
      </c>
      <c r="U299" s="94"/>
      <c r="V299" s="130">
        <f t="shared" si="278"/>
        <v>1510453.8711194708</v>
      </c>
      <c r="W299" s="94"/>
      <c r="X299" s="130">
        <f t="shared" si="279"/>
        <v>1614526.1117738851</v>
      </c>
      <c r="Y299" s="94"/>
      <c r="Z299" s="94">
        <f t="shared" si="280"/>
        <v>0</v>
      </c>
      <c r="AC299" s="97" t="s">
        <v>447</v>
      </c>
      <c r="AE299" s="112">
        <f t="shared" si="290"/>
        <v>5</v>
      </c>
      <c r="AG299" s="94">
        <f t="shared" si="291"/>
        <v>14063816.304650567</v>
      </c>
      <c r="AH299" s="94"/>
      <c r="AI299" s="130">
        <f t="shared" si="281"/>
        <v>4358376.6728112111</v>
      </c>
      <c r="AJ299" s="130"/>
      <c r="AK299" s="130">
        <f t="shared" si="282"/>
        <v>0</v>
      </c>
      <c r="AL299" s="130"/>
      <c r="AM299" s="130">
        <f t="shared" si="283"/>
        <v>6580459.6489460003</v>
      </c>
      <c r="AN299" s="130"/>
      <c r="AO299" s="130">
        <f t="shared" si="284"/>
        <v>0</v>
      </c>
      <c r="AP299" s="130"/>
      <c r="AQ299" s="130">
        <f t="shared" si="285"/>
        <v>0</v>
      </c>
      <c r="AR299" s="130"/>
      <c r="AS299" s="130">
        <f t="shared" si="286"/>
        <v>0</v>
      </c>
      <c r="AT299" s="130"/>
      <c r="AU299" s="130">
        <f t="shared" si="287"/>
        <v>0</v>
      </c>
      <c r="AV299" s="130"/>
      <c r="AW299" s="130">
        <f t="shared" si="288"/>
        <v>1510453.8711194708</v>
      </c>
      <c r="AX299" s="130"/>
      <c r="AY299" s="130">
        <f t="shared" si="289"/>
        <v>1614526.1117738851</v>
      </c>
      <c r="BA299" s="82">
        <f t="shared" si="240"/>
        <v>0</v>
      </c>
      <c r="BB299" s="67"/>
      <c r="BC299" s="67"/>
      <c r="BD299" s="67"/>
    </row>
    <row r="300" spans="1:56" s="340" customFormat="1" x14ac:dyDescent="0.2">
      <c r="A300" s="511"/>
      <c r="B300" s="512"/>
      <c r="C300" s="516"/>
      <c r="D300" s="273">
        <v>331</v>
      </c>
      <c r="E300" s="94"/>
      <c r="F300" s="223" t="s">
        <v>448</v>
      </c>
      <c r="G300" s="547"/>
      <c r="H300" s="417"/>
      <c r="I300" s="225"/>
      <c r="J300" s="550"/>
      <c r="K300" s="265"/>
      <c r="L300" s="130"/>
      <c r="M300" s="94"/>
      <c r="N300" s="130"/>
      <c r="O300" s="94"/>
      <c r="P300" s="130"/>
      <c r="Q300" s="94"/>
      <c r="R300" s="130"/>
      <c r="S300" s="94"/>
      <c r="T300" s="130"/>
      <c r="U300" s="94"/>
      <c r="V300" s="130"/>
      <c r="W300" s="94"/>
      <c r="X300" s="130"/>
      <c r="Y300" s="94"/>
      <c r="Z300" s="94">
        <f t="shared" si="280"/>
        <v>0</v>
      </c>
      <c r="AC300" s="97" t="s">
        <v>448</v>
      </c>
      <c r="AE300" s="112"/>
      <c r="AG300" s="94"/>
      <c r="AH300" s="94"/>
      <c r="AI300" s="130"/>
      <c r="AJ300" s="130"/>
      <c r="AK300" s="130"/>
      <c r="AL300" s="130"/>
      <c r="AM300" s="130"/>
      <c r="AN300" s="130"/>
      <c r="AO300" s="130"/>
      <c r="AP300" s="130"/>
      <c r="AQ300" s="130"/>
      <c r="AR300" s="130"/>
      <c r="AS300" s="130"/>
      <c r="AT300" s="130"/>
      <c r="AU300" s="130"/>
      <c r="AV300" s="130"/>
      <c r="AW300" s="130"/>
      <c r="AX300" s="130"/>
      <c r="AY300" s="130"/>
      <c r="BA300" s="82">
        <f t="shared" si="240"/>
        <v>0</v>
      </c>
      <c r="BB300" s="67"/>
      <c r="BC300" s="67"/>
      <c r="BD300" s="67"/>
    </row>
    <row r="301" spans="1:56" s="340" customFormat="1" x14ac:dyDescent="0.2">
      <c r="A301" s="687"/>
      <c r="B301" s="688"/>
      <c r="C301" s="516"/>
      <c r="D301" s="273"/>
      <c r="E301" s="94"/>
      <c r="F301" s="225" t="s">
        <v>646</v>
      </c>
      <c r="G301" s="417"/>
      <c r="H301" s="417">
        <v>4</v>
      </c>
      <c r="I301" s="225"/>
      <c r="J301" s="515">
        <v>4473511.4275840875</v>
      </c>
      <c r="K301" s="265"/>
      <c r="L301" s="130">
        <f>(VLOOKUP($H301,Factors,L$378))*$J301</f>
        <v>2154890.4546672548</v>
      </c>
      <c r="M301" s="94"/>
      <c r="N301" s="130">
        <f>(VLOOKUP($H301,Factors,N$378))*$J301</f>
        <v>1406024.6416896789</v>
      </c>
      <c r="O301" s="94"/>
      <c r="P301" s="130">
        <f>(VLOOKUP($H301,Factors,P$378))*$J301</f>
        <v>14315.23656826908</v>
      </c>
      <c r="Q301" s="94"/>
      <c r="R301" s="130">
        <f>(VLOOKUP($H301,Factors,R$378))*$J301</f>
        <v>330145.14335570566</v>
      </c>
      <c r="S301" s="94"/>
      <c r="T301" s="130">
        <f>(VLOOKUP($H301,Factors,T$378))*$J301</f>
        <v>0</v>
      </c>
      <c r="U301" s="94"/>
      <c r="V301" s="130">
        <f>(VLOOKUP($H301,Factors,V$378))*$J301</f>
        <v>274673.60165366298</v>
      </c>
      <c r="W301" s="94"/>
      <c r="X301" s="130">
        <f>(VLOOKUP($H301,Factors,X$378))*$J301</f>
        <v>293462.34964951617</v>
      </c>
      <c r="Y301" s="94"/>
      <c r="Z301" s="94">
        <f t="shared" si="280"/>
        <v>0</v>
      </c>
      <c r="AC301" s="225" t="s">
        <v>646</v>
      </c>
      <c r="AE301" s="112">
        <f t="shared" si="290"/>
        <v>4</v>
      </c>
      <c r="AG301" s="94">
        <f t="shared" si="291"/>
        <v>4473511.4275840875</v>
      </c>
      <c r="AH301" s="94"/>
      <c r="AI301" s="130">
        <f>(VLOOKUP($AE301,func,AI$378))*$AG301</f>
        <v>1555887.2745137459</v>
      </c>
      <c r="AJ301" s="130"/>
      <c r="AK301" s="130">
        <f>(VLOOKUP($AE301,func,AK$378))*$AG301</f>
        <v>0</v>
      </c>
      <c r="AL301" s="130"/>
      <c r="AM301" s="130">
        <f>(VLOOKUP($AE301,func,AM$378))*$AG301</f>
        <v>2349488.2017671629</v>
      </c>
      <c r="AN301" s="130"/>
      <c r="AO301" s="130">
        <f>(VLOOKUP($AE301,func,AO$378))*$AG301</f>
        <v>0</v>
      </c>
      <c r="AP301" s="130"/>
      <c r="AQ301" s="130">
        <f>(VLOOKUP($AE301,func,AQ$378))*$AG301</f>
        <v>0</v>
      </c>
      <c r="AR301" s="130"/>
      <c r="AS301" s="130">
        <f>(VLOOKUP($AE301,func,AS$378))*$AG301</f>
        <v>0</v>
      </c>
      <c r="AT301" s="130"/>
      <c r="AU301" s="130">
        <f>(VLOOKUP($AE301,func,AU$378))*$AG301</f>
        <v>0</v>
      </c>
      <c r="AV301" s="130"/>
      <c r="AW301" s="130">
        <f>(VLOOKUP($AE301,func,AW$378))*$AG301</f>
        <v>274673.60165366298</v>
      </c>
      <c r="AX301" s="130"/>
      <c r="AY301" s="130">
        <f>(VLOOKUP($AE301,func,AY$378))*$AG301</f>
        <v>293462.34964951617</v>
      </c>
      <c r="BA301" s="82">
        <f t="shared" si="240"/>
        <v>0</v>
      </c>
      <c r="BB301" s="67"/>
      <c r="BC301" s="67"/>
      <c r="BD301" s="67"/>
    </row>
    <row r="302" spans="1:56" s="340" customFormat="1" x14ac:dyDescent="0.2">
      <c r="A302" s="687"/>
      <c r="B302" s="688"/>
      <c r="C302" s="516"/>
      <c r="D302" s="273"/>
      <c r="E302" s="94"/>
      <c r="F302" s="225" t="s">
        <v>647</v>
      </c>
      <c r="G302" s="417"/>
      <c r="H302" s="417">
        <v>3</v>
      </c>
      <c r="I302" s="225"/>
      <c r="J302" s="515">
        <v>5077411.5477381451</v>
      </c>
      <c r="K302" s="265"/>
      <c r="L302" s="130">
        <f>(VLOOKUP($H302,Factors,L$378))*$J302</f>
        <v>2346779.617364571</v>
      </c>
      <c r="M302" s="94"/>
      <c r="N302" s="130">
        <f>(VLOOKUP($H302,Factors,N$378))*$J302</f>
        <v>1510529.935452098</v>
      </c>
      <c r="O302" s="94"/>
      <c r="P302" s="130">
        <f>(VLOOKUP($H302,Factors,P$378))*$J302</f>
        <v>222390.62579093076</v>
      </c>
      <c r="Q302" s="94"/>
      <c r="R302" s="130">
        <f>(VLOOKUP($H302,Factors,R$378))*$J302</f>
        <v>430564.49924819468</v>
      </c>
      <c r="S302" s="94"/>
      <c r="T302" s="130">
        <f>(VLOOKUP($H302,Factors,T$378))*$J302</f>
        <v>153845.56989646581</v>
      </c>
      <c r="U302" s="94"/>
      <c r="V302" s="130">
        <f>(VLOOKUP($H302,Factors,V$378))*$J302</f>
        <v>199542.27382610907</v>
      </c>
      <c r="W302" s="94"/>
      <c r="X302" s="130">
        <f>(VLOOKUP($H302,Factors,X$378))*$J302</f>
        <v>213759.02615977591</v>
      </c>
      <c r="Y302" s="94"/>
      <c r="Z302" s="94">
        <f t="shared" si="280"/>
        <v>0</v>
      </c>
      <c r="AC302" s="225" t="s">
        <v>647</v>
      </c>
      <c r="AE302" s="112">
        <f t="shared" ref="AE302" si="292">+H302</f>
        <v>3</v>
      </c>
      <c r="AG302" s="94">
        <f t="shared" ref="AG302" si="293">+J302</f>
        <v>5077411.5477381451</v>
      </c>
      <c r="AH302" s="94"/>
      <c r="AI302" s="130">
        <f>(VLOOKUP($AE302,func,AI$378))*$AG302</f>
        <v>2674780.4033484552</v>
      </c>
      <c r="AJ302" s="130"/>
      <c r="AK302" s="130">
        <f>(VLOOKUP($AE302,func,AK$378))*$AG302</f>
        <v>2006085.3025113412</v>
      </c>
      <c r="AL302" s="130"/>
      <c r="AM302" s="130">
        <f>(VLOOKUP($AE302,func,AM$378))*$AG302</f>
        <v>0</v>
      </c>
      <c r="AN302" s="130"/>
      <c r="AO302" s="130">
        <f>(VLOOKUP($AE302,func,AO$378))*$AG302</f>
        <v>0</v>
      </c>
      <c r="AP302" s="130"/>
      <c r="AQ302" s="130">
        <f>(VLOOKUP($AE302,func,AQ$378))*$AG302</f>
        <v>0</v>
      </c>
      <c r="AR302" s="130"/>
      <c r="AS302" s="130">
        <f>(VLOOKUP($AE302,func,AS$378))*$AG302</f>
        <v>0</v>
      </c>
      <c r="AT302" s="130"/>
      <c r="AU302" s="130">
        <f>(VLOOKUP($AE302,func,AU$378))*$AG302</f>
        <v>0</v>
      </c>
      <c r="AV302" s="130"/>
      <c r="AW302" s="130">
        <f>(VLOOKUP($AE302,func,AW$378))*$AG302</f>
        <v>191418.41534972805</v>
      </c>
      <c r="AX302" s="130"/>
      <c r="AY302" s="130">
        <f>(VLOOKUP($AE302,func,AY$378))*$AG302</f>
        <v>205127.42652862106</v>
      </c>
      <c r="BA302" s="82">
        <f t="shared" ref="BA302" si="294">SUM(AI302:AY302)-AG302</f>
        <v>0</v>
      </c>
      <c r="BB302" s="67"/>
      <c r="BC302" s="67"/>
      <c r="BD302" s="67"/>
    </row>
    <row r="303" spans="1:56" s="340" customFormat="1" x14ac:dyDescent="0.2">
      <c r="A303" s="511"/>
      <c r="B303" s="512"/>
      <c r="C303" s="516"/>
      <c r="D303" s="273"/>
      <c r="E303" s="94"/>
      <c r="F303" s="223" t="s">
        <v>570</v>
      </c>
      <c r="G303" s="417"/>
      <c r="H303" s="417">
        <v>4</v>
      </c>
      <c r="I303" s="225"/>
      <c r="J303" s="515">
        <v>11657277.126909604</v>
      </c>
      <c r="K303" s="265"/>
      <c r="L303" s="130">
        <f t="shared" ref="L303:L324" si="295">(VLOOKUP($H303,Factors,L$378))*$J303</f>
        <v>5615310.3920323569</v>
      </c>
      <c r="M303" s="94"/>
      <c r="N303" s="130">
        <f t="shared" ref="N303:N324" si="296">(VLOOKUP($H303,Factors,N$378))*$J303</f>
        <v>3663882.2009876887</v>
      </c>
      <c r="O303" s="94"/>
      <c r="P303" s="130">
        <f t="shared" ref="P303:P324" si="297">(VLOOKUP($H303,Factors,P$378))*$J303</f>
        <v>37303.286806110737</v>
      </c>
      <c r="Q303" s="94"/>
      <c r="R303" s="130">
        <f t="shared" ref="R303:R324" si="298">(VLOOKUP($H303,Factors,R$378))*$J303</f>
        <v>860307.05196592887</v>
      </c>
      <c r="S303" s="94"/>
      <c r="T303" s="130">
        <f t="shared" ref="T303:T324" si="299">(VLOOKUP($H303,Factors,T$378))*$J303</f>
        <v>0</v>
      </c>
      <c r="U303" s="94"/>
      <c r="V303" s="130">
        <f t="shared" ref="V303:V324" si="300">(VLOOKUP($H303,Factors,V$378))*$J303</f>
        <v>715756.81559224962</v>
      </c>
      <c r="W303" s="94"/>
      <c r="X303" s="130">
        <f t="shared" ref="X303:X324" si="301">(VLOOKUP($H303,Factors,X$378))*$J303</f>
        <v>764717.37952527008</v>
      </c>
      <c r="Y303" s="94"/>
      <c r="Z303" s="94">
        <f t="shared" si="280"/>
        <v>0</v>
      </c>
      <c r="AC303" s="97" t="s">
        <v>570</v>
      </c>
      <c r="AE303" s="112">
        <f t="shared" si="290"/>
        <v>4</v>
      </c>
      <c r="AG303" s="94">
        <f t="shared" si="291"/>
        <v>11657277.126909604</v>
      </c>
      <c r="AH303" s="94"/>
      <c r="AI303" s="130">
        <f t="shared" ref="AI303:AI323" si="302">(VLOOKUP($AE303,func,AI$378))*$AG303</f>
        <v>4054400.9847391611</v>
      </c>
      <c r="AJ303" s="130"/>
      <c r="AK303" s="130">
        <f t="shared" ref="AK303:AK323" si="303">(VLOOKUP($AE303,func,AK$378))*$AG303</f>
        <v>0</v>
      </c>
      <c r="AL303" s="130"/>
      <c r="AM303" s="130">
        <f t="shared" ref="AM303:AM323" si="304">(VLOOKUP($AE303,func,AM$378))*$AG303</f>
        <v>6122401.947052924</v>
      </c>
      <c r="AN303" s="130"/>
      <c r="AO303" s="130">
        <f t="shared" ref="AO303:AO323" si="305">(VLOOKUP($AE303,func,AO$378))*$AG303</f>
        <v>0</v>
      </c>
      <c r="AP303" s="130"/>
      <c r="AQ303" s="130">
        <f t="shared" ref="AQ303:AQ323" si="306">(VLOOKUP($AE303,func,AQ$378))*$AG303</f>
        <v>0</v>
      </c>
      <c r="AR303" s="130"/>
      <c r="AS303" s="130">
        <f t="shared" ref="AS303:AS323" si="307">(VLOOKUP($AE303,func,AS$378))*$AG303</f>
        <v>0</v>
      </c>
      <c r="AT303" s="130"/>
      <c r="AU303" s="130">
        <f t="shared" ref="AU303:AU323" si="308">(VLOOKUP($AE303,func,AU$378))*$AG303</f>
        <v>0</v>
      </c>
      <c r="AV303" s="130"/>
      <c r="AW303" s="130">
        <f t="shared" ref="AW303:AW323" si="309">(VLOOKUP($AE303,func,AW$378))*$AG303</f>
        <v>715756.81559224962</v>
      </c>
      <c r="AX303" s="130"/>
      <c r="AY303" s="130">
        <f t="shared" ref="AY303:AY323" si="310">(VLOOKUP($AE303,func,AY$378))*$AG303</f>
        <v>764717.37952527008</v>
      </c>
      <c r="BA303" s="82">
        <f t="shared" si="240"/>
        <v>0</v>
      </c>
      <c r="BB303" s="67"/>
      <c r="BC303" s="67"/>
      <c r="BD303" s="67"/>
    </row>
    <row r="304" spans="1:56" s="340" customFormat="1" x14ac:dyDescent="0.2">
      <c r="A304" s="511"/>
      <c r="B304" s="512"/>
      <c r="C304" s="516"/>
      <c r="D304" s="273"/>
      <c r="E304" s="94"/>
      <c r="F304" s="223" t="s">
        <v>568</v>
      </c>
      <c r="G304" s="417"/>
      <c r="H304" s="417">
        <v>4</v>
      </c>
      <c r="I304" s="225"/>
      <c r="J304" s="515">
        <v>81378250.28444539</v>
      </c>
      <c r="K304" s="265"/>
      <c r="L304" s="130">
        <f t="shared" si="295"/>
        <v>39199903.162017345</v>
      </c>
      <c r="M304" s="94"/>
      <c r="N304" s="130">
        <f t="shared" si="296"/>
        <v>25577184.064401187</v>
      </c>
      <c r="O304" s="94"/>
      <c r="P304" s="130">
        <f t="shared" si="297"/>
        <v>260410.40091022526</v>
      </c>
      <c r="Q304" s="94"/>
      <c r="R304" s="130">
        <f t="shared" si="298"/>
        <v>6005714.8709920701</v>
      </c>
      <c r="S304" s="94"/>
      <c r="T304" s="130">
        <f t="shared" si="299"/>
        <v>0</v>
      </c>
      <c r="U304" s="94"/>
      <c r="V304" s="130">
        <f t="shared" si="300"/>
        <v>4996624.5674649468</v>
      </c>
      <c r="W304" s="94"/>
      <c r="X304" s="130">
        <f t="shared" si="301"/>
        <v>5338413.2186596179</v>
      </c>
      <c r="Y304" s="94"/>
      <c r="Z304" s="94">
        <f t="shared" si="280"/>
        <v>0</v>
      </c>
      <c r="AC304" s="97" t="s">
        <v>568</v>
      </c>
      <c r="AE304" s="112">
        <f t="shared" si="290"/>
        <v>4</v>
      </c>
      <c r="AG304" s="94">
        <f t="shared" si="291"/>
        <v>81378250.28444539</v>
      </c>
      <c r="AH304" s="94"/>
      <c r="AI304" s="130">
        <f t="shared" si="302"/>
        <v>28303355.448930111</v>
      </c>
      <c r="AJ304" s="130"/>
      <c r="AK304" s="130">
        <f t="shared" si="303"/>
        <v>0</v>
      </c>
      <c r="AL304" s="130"/>
      <c r="AM304" s="130">
        <f t="shared" si="304"/>
        <v>42739857.049390718</v>
      </c>
      <c r="AN304" s="130"/>
      <c r="AO304" s="130">
        <f t="shared" si="305"/>
        <v>0</v>
      </c>
      <c r="AP304" s="130"/>
      <c r="AQ304" s="130">
        <f t="shared" si="306"/>
        <v>0</v>
      </c>
      <c r="AR304" s="130"/>
      <c r="AS304" s="130">
        <f t="shared" si="307"/>
        <v>0</v>
      </c>
      <c r="AT304" s="130"/>
      <c r="AU304" s="130">
        <f t="shared" si="308"/>
        <v>0</v>
      </c>
      <c r="AV304" s="130"/>
      <c r="AW304" s="130">
        <f t="shared" si="309"/>
        <v>4996624.5674649468</v>
      </c>
      <c r="AX304" s="130"/>
      <c r="AY304" s="130">
        <f t="shared" si="310"/>
        <v>5338413.2186596179</v>
      </c>
      <c r="BA304" s="82">
        <f t="shared" si="240"/>
        <v>0</v>
      </c>
      <c r="BB304" s="67"/>
      <c r="BC304" s="67"/>
      <c r="BD304" s="67"/>
    </row>
    <row r="305" spans="1:56" s="340" customFormat="1" x14ac:dyDescent="0.2">
      <c r="A305" s="511"/>
      <c r="B305" s="512"/>
      <c r="C305" s="516"/>
      <c r="D305" s="273"/>
      <c r="E305" s="94"/>
      <c r="F305" s="223" t="s">
        <v>569</v>
      </c>
      <c r="G305" s="417"/>
      <c r="H305" s="417">
        <v>3</v>
      </c>
      <c r="I305" s="225"/>
      <c r="J305" s="515">
        <v>44015742.26294823</v>
      </c>
      <c r="K305" s="265"/>
      <c r="L305" s="130">
        <f t="shared" si="295"/>
        <v>20344076.073934674</v>
      </c>
      <c r="M305" s="94"/>
      <c r="N305" s="130">
        <f t="shared" si="296"/>
        <v>13094683.323227098</v>
      </c>
      <c r="O305" s="94"/>
      <c r="P305" s="130">
        <f t="shared" si="297"/>
        <v>1927889.5111171324</v>
      </c>
      <c r="Q305" s="94"/>
      <c r="R305" s="130">
        <f t="shared" si="298"/>
        <v>3732534.9438980101</v>
      </c>
      <c r="S305" s="94"/>
      <c r="T305" s="130">
        <f t="shared" si="299"/>
        <v>1333676.9905673314</v>
      </c>
      <c r="U305" s="94"/>
      <c r="V305" s="130">
        <f t="shared" si="300"/>
        <v>1729818.6709338652</v>
      </c>
      <c r="W305" s="94"/>
      <c r="X305" s="130">
        <f t="shared" si="301"/>
        <v>1853062.7492701204</v>
      </c>
      <c r="Y305" s="94"/>
      <c r="Z305" s="94">
        <f t="shared" si="280"/>
        <v>0</v>
      </c>
      <c r="AC305" s="97" t="s">
        <v>569</v>
      </c>
      <c r="AE305" s="112">
        <f t="shared" si="290"/>
        <v>3</v>
      </c>
      <c r="AG305" s="94">
        <f t="shared" si="291"/>
        <v>44015742.26294823</v>
      </c>
      <c r="AH305" s="94"/>
      <c r="AI305" s="130">
        <f t="shared" si="302"/>
        <v>23187493.024121128</v>
      </c>
      <c r="AJ305" s="130"/>
      <c r="AK305" s="130">
        <f t="shared" si="303"/>
        <v>17390619.768090844</v>
      </c>
      <c r="AL305" s="130"/>
      <c r="AM305" s="130">
        <f t="shared" si="304"/>
        <v>0</v>
      </c>
      <c r="AN305" s="130"/>
      <c r="AO305" s="130">
        <f t="shared" si="305"/>
        <v>0</v>
      </c>
      <c r="AP305" s="130"/>
      <c r="AQ305" s="130">
        <f t="shared" si="306"/>
        <v>0</v>
      </c>
      <c r="AR305" s="130"/>
      <c r="AS305" s="130">
        <f t="shared" si="307"/>
        <v>0</v>
      </c>
      <c r="AT305" s="130"/>
      <c r="AU305" s="130">
        <f t="shared" si="308"/>
        <v>0</v>
      </c>
      <c r="AV305" s="130"/>
      <c r="AW305" s="130">
        <f t="shared" si="309"/>
        <v>1659393.4833131481</v>
      </c>
      <c r="AX305" s="130"/>
      <c r="AY305" s="130">
        <f t="shared" si="310"/>
        <v>1778235.9874231084</v>
      </c>
      <c r="BA305" s="82">
        <f t="shared" si="240"/>
        <v>0</v>
      </c>
      <c r="BB305" s="67"/>
      <c r="BC305" s="67"/>
      <c r="BD305" s="67"/>
    </row>
    <row r="306" spans="1:56" s="340" customFormat="1" x14ac:dyDescent="0.2">
      <c r="A306" s="511"/>
      <c r="B306" s="512"/>
      <c r="C306" s="516"/>
      <c r="D306" s="273"/>
      <c r="E306" s="94"/>
      <c r="F306" s="223" t="s">
        <v>571</v>
      </c>
      <c r="G306" s="417"/>
      <c r="H306" s="417">
        <v>3</v>
      </c>
      <c r="I306" s="225"/>
      <c r="J306" s="515">
        <v>65465633.343218341</v>
      </c>
      <c r="K306" s="265"/>
      <c r="L306" s="130">
        <f t="shared" si="295"/>
        <v>30258215.731235523</v>
      </c>
      <c r="M306" s="94"/>
      <c r="N306" s="130">
        <f t="shared" si="296"/>
        <v>19476025.919607457</v>
      </c>
      <c r="O306" s="94"/>
      <c r="P306" s="130">
        <f t="shared" si="297"/>
        <v>2867394.7404329632</v>
      </c>
      <c r="Q306" s="94"/>
      <c r="R306" s="130">
        <f t="shared" si="298"/>
        <v>5551485.7075049151</v>
      </c>
      <c r="S306" s="94"/>
      <c r="T306" s="130">
        <f t="shared" si="299"/>
        <v>1983608.6902995158</v>
      </c>
      <c r="U306" s="94"/>
      <c r="V306" s="130">
        <f t="shared" si="300"/>
        <v>2572799.3903884804</v>
      </c>
      <c r="W306" s="94"/>
      <c r="X306" s="130">
        <f t="shared" si="301"/>
        <v>2756103.1637494923</v>
      </c>
      <c r="Y306" s="94"/>
      <c r="Z306" s="94">
        <f t="shared" si="280"/>
        <v>0</v>
      </c>
      <c r="AC306" s="97" t="s">
        <v>571</v>
      </c>
      <c r="AE306" s="112">
        <f t="shared" si="290"/>
        <v>3</v>
      </c>
      <c r="AG306" s="94">
        <f t="shared" si="291"/>
        <v>65465633.343218341</v>
      </c>
      <c r="AH306" s="94"/>
      <c r="AI306" s="130">
        <f t="shared" si="302"/>
        <v>34487295.645207427</v>
      </c>
      <c r="AJ306" s="130"/>
      <c r="AK306" s="130">
        <f t="shared" si="303"/>
        <v>25865471.733905569</v>
      </c>
      <c r="AL306" s="130"/>
      <c r="AM306" s="130">
        <f t="shared" si="304"/>
        <v>0</v>
      </c>
      <c r="AN306" s="130"/>
      <c r="AO306" s="130">
        <f t="shared" si="305"/>
        <v>0</v>
      </c>
      <c r="AP306" s="130"/>
      <c r="AQ306" s="130">
        <f t="shared" si="306"/>
        <v>0</v>
      </c>
      <c r="AR306" s="130"/>
      <c r="AS306" s="130">
        <f t="shared" si="307"/>
        <v>0</v>
      </c>
      <c r="AT306" s="130"/>
      <c r="AU306" s="130">
        <f t="shared" si="308"/>
        <v>0</v>
      </c>
      <c r="AV306" s="130"/>
      <c r="AW306" s="130">
        <f t="shared" si="309"/>
        <v>2468054.3770393315</v>
      </c>
      <c r="AX306" s="130"/>
      <c r="AY306" s="130">
        <f t="shared" si="310"/>
        <v>2644811.5870660208</v>
      </c>
      <c r="BA306" s="82">
        <f t="shared" si="240"/>
        <v>0</v>
      </c>
      <c r="BB306" s="67"/>
      <c r="BC306" s="67"/>
      <c r="BD306" s="67"/>
    </row>
    <row r="307" spans="1:56" s="340" customFormat="1" x14ac:dyDescent="0.2">
      <c r="A307" s="511"/>
      <c r="B307" s="512"/>
      <c r="C307" s="516"/>
      <c r="D307" s="273">
        <v>333</v>
      </c>
      <c r="E307" s="94"/>
      <c r="F307" s="97" t="s">
        <v>449</v>
      </c>
      <c r="G307" s="56"/>
      <c r="H307" s="64">
        <v>10</v>
      </c>
      <c r="J307" s="515">
        <v>8700560.4351216145</v>
      </c>
      <c r="K307" s="265"/>
      <c r="L307" s="130">
        <f t="shared" si="295"/>
        <v>7171871.9666707469</v>
      </c>
      <c r="M307" s="94"/>
      <c r="N307" s="130">
        <f t="shared" si="296"/>
        <v>954451.47973284114</v>
      </c>
      <c r="O307" s="94"/>
      <c r="P307" s="130">
        <f t="shared" si="297"/>
        <v>9570.6164786337758</v>
      </c>
      <c r="Q307" s="94"/>
      <c r="R307" s="130">
        <f t="shared" si="298"/>
        <v>120937.79004819044</v>
      </c>
      <c r="S307" s="94"/>
      <c r="T307" s="130">
        <f t="shared" si="299"/>
        <v>3480.2241740486461</v>
      </c>
      <c r="U307" s="94"/>
      <c r="V307" s="130">
        <f t="shared" si="300"/>
        <v>440248.35801715369</v>
      </c>
      <c r="W307" s="94"/>
      <c r="X307" s="130">
        <f t="shared" si="301"/>
        <v>0</v>
      </c>
      <c r="Y307" s="94"/>
      <c r="Z307" s="94">
        <f t="shared" si="280"/>
        <v>0</v>
      </c>
      <c r="AC307" s="97" t="s">
        <v>449</v>
      </c>
      <c r="AE307" s="112">
        <f t="shared" si="290"/>
        <v>10</v>
      </c>
      <c r="AG307" s="94">
        <f t="shared" si="291"/>
        <v>8700560.4351216145</v>
      </c>
      <c r="AH307" s="94"/>
      <c r="AI307" s="130">
        <f t="shared" si="302"/>
        <v>0</v>
      </c>
      <c r="AJ307" s="130"/>
      <c r="AK307" s="130">
        <f t="shared" si="303"/>
        <v>0</v>
      </c>
      <c r="AL307" s="130"/>
      <c r="AM307" s="130">
        <f t="shared" si="304"/>
        <v>0</v>
      </c>
      <c r="AN307" s="130"/>
      <c r="AO307" s="130">
        <f t="shared" si="305"/>
        <v>0</v>
      </c>
      <c r="AP307" s="130"/>
      <c r="AQ307" s="130">
        <f t="shared" si="306"/>
        <v>8260312.0771044614</v>
      </c>
      <c r="AR307" s="130"/>
      <c r="AS307" s="130">
        <f t="shared" si="307"/>
        <v>0</v>
      </c>
      <c r="AT307" s="130"/>
      <c r="AU307" s="130">
        <f t="shared" si="308"/>
        <v>0</v>
      </c>
      <c r="AV307" s="130"/>
      <c r="AW307" s="130">
        <f t="shared" si="309"/>
        <v>440248.35801715369</v>
      </c>
      <c r="AX307" s="130"/>
      <c r="AY307" s="130">
        <f t="shared" si="310"/>
        <v>0</v>
      </c>
      <c r="BA307" s="82">
        <f t="shared" si="240"/>
        <v>0</v>
      </c>
      <c r="BB307" s="67"/>
      <c r="BC307" s="67"/>
      <c r="BD307" s="67"/>
    </row>
    <row r="308" spans="1:56" s="340" customFormat="1" x14ac:dyDescent="0.2">
      <c r="A308" s="511"/>
      <c r="B308" s="512"/>
      <c r="C308" s="516"/>
      <c r="D308" s="273">
        <v>334</v>
      </c>
      <c r="E308" s="94"/>
      <c r="F308" s="97" t="s">
        <v>450</v>
      </c>
      <c r="G308" s="56"/>
      <c r="H308" s="64">
        <v>9</v>
      </c>
      <c r="J308" s="515">
        <v>15148206.036716627</v>
      </c>
      <c r="K308" s="265"/>
      <c r="L308" s="130">
        <f t="shared" si="295"/>
        <v>12576040.651682144</v>
      </c>
      <c r="M308" s="94"/>
      <c r="N308" s="130">
        <f t="shared" si="296"/>
        <v>1932911.0902850414</v>
      </c>
      <c r="O308" s="94"/>
      <c r="P308" s="130">
        <f t="shared" si="297"/>
        <v>59078.003543194842</v>
      </c>
      <c r="Q308" s="94"/>
      <c r="R308" s="130">
        <f t="shared" si="298"/>
        <v>363556.94488119904</v>
      </c>
      <c r="S308" s="94"/>
      <c r="T308" s="130">
        <f t="shared" si="299"/>
        <v>27266.770866089926</v>
      </c>
      <c r="U308" s="94"/>
      <c r="V308" s="130">
        <f t="shared" si="300"/>
        <v>189352.57545895784</v>
      </c>
      <c r="W308" s="94"/>
      <c r="X308" s="130">
        <f t="shared" si="301"/>
        <v>0</v>
      </c>
      <c r="Y308" s="94"/>
      <c r="Z308" s="94">
        <f t="shared" si="280"/>
        <v>0</v>
      </c>
      <c r="AC308" s="97" t="s">
        <v>450</v>
      </c>
      <c r="AE308" s="112">
        <f t="shared" si="290"/>
        <v>9</v>
      </c>
      <c r="AG308" s="94">
        <f t="shared" si="291"/>
        <v>15148206.036716627</v>
      </c>
      <c r="AH308" s="94"/>
      <c r="AI308" s="130">
        <f t="shared" si="302"/>
        <v>0</v>
      </c>
      <c r="AJ308" s="130"/>
      <c r="AK308" s="130">
        <f t="shared" si="303"/>
        <v>0</v>
      </c>
      <c r="AL308" s="130"/>
      <c r="AM308" s="130">
        <f t="shared" si="304"/>
        <v>0</v>
      </c>
      <c r="AN308" s="130"/>
      <c r="AO308" s="130">
        <f t="shared" si="305"/>
        <v>14958853.46125767</v>
      </c>
      <c r="AP308" s="130"/>
      <c r="AQ308" s="130">
        <f t="shared" si="306"/>
        <v>0</v>
      </c>
      <c r="AR308" s="130"/>
      <c r="AS308" s="130">
        <f t="shared" si="307"/>
        <v>0</v>
      </c>
      <c r="AT308" s="130"/>
      <c r="AU308" s="130">
        <f t="shared" si="308"/>
        <v>0</v>
      </c>
      <c r="AV308" s="130"/>
      <c r="AW308" s="130">
        <f t="shared" si="309"/>
        <v>189352.57545895784</v>
      </c>
      <c r="AX308" s="130"/>
      <c r="AY308" s="130">
        <f t="shared" si="310"/>
        <v>0</v>
      </c>
      <c r="BA308" s="82">
        <f t="shared" si="240"/>
        <v>0</v>
      </c>
      <c r="BB308" s="67"/>
      <c r="BC308" s="67"/>
      <c r="BD308" s="67"/>
    </row>
    <row r="309" spans="1:56" s="340" customFormat="1" x14ac:dyDescent="0.2">
      <c r="A309" s="511"/>
      <c r="B309" s="512"/>
      <c r="C309" s="516"/>
      <c r="D309" s="273">
        <v>334</v>
      </c>
      <c r="E309" s="94"/>
      <c r="F309" s="97" t="s">
        <v>451</v>
      </c>
      <c r="G309" s="56"/>
      <c r="H309" s="64">
        <v>9</v>
      </c>
      <c r="J309" s="515">
        <v>19728060.799658675</v>
      </c>
      <c r="K309" s="265"/>
      <c r="L309" s="130">
        <f t="shared" si="295"/>
        <v>16378236.075876633</v>
      </c>
      <c r="M309" s="94"/>
      <c r="N309" s="130">
        <f t="shared" si="296"/>
        <v>2517300.5580364466</v>
      </c>
      <c r="O309" s="94"/>
      <c r="P309" s="130">
        <f t="shared" si="297"/>
        <v>76939.437118668822</v>
      </c>
      <c r="Q309" s="94"/>
      <c r="R309" s="130">
        <f t="shared" si="298"/>
        <v>473473.45919180819</v>
      </c>
      <c r="S309" s="94"/>
      <c r="T309" s="130">
        <f t="shared" si="299"/>
        <v>35510.509439385612</v>
      </c>
      <c r="U309" s="94"/>
      <c r="V309" s="130">
        <f t="shared" si="300"/>
        <v>246600.75999573345</v>
      </c>
      <c r="W309" s="94"/>
      <c r="X309" s="130">
        <f t="shared" si="301"/>
        <v>0</v>
      </c>
      <c r="Y309" s="94"/>
      <c r="Z309" s="94">
        <f t="shared" si="280"/>
        <v>0</v>
      </c>
      <c r="AC309" s="97" t="s">
        <v>451</v>
      </c>
      <c r="AE309" s="112">
        <f t="shared" si="290"/>
        <v>9</v>
      </c>
      <c r="AG309" s="94">
        <f t="shared" si="291"/>
        <v>19728060.799658675</v>
      </c>
      <c r="AH309" s="94"/>
      <c r="AI309" s="130">
        <f t="shared" si="302"/>
        <v>0</v>
      </c>
      <c r="AJ309" s="130"/>
      <c r="AK309" s="130">
        <f t="shared" si="303"/>
        <v>0</v>
      </c>
      <c r="AL309" s="130"/>
      <c r="AM309" s="130">
        <f t="shared" si="304"/>
        <v>0</v>
      </c>
      <c r="AN309" s="130"/>
      <c r="AO309" s="130">
        <f t="shared" si="305"/>
        <v>19481460.039662942</v>
      </c>
      <c r="AP309" s="130"/>
      <c r="AQ309" s="130">
        <f t="shared" si="306"/>
        <v>0</v>
      </c>
      <c r="AR309" s="130"/>
      <c r="AS309" s="130">
        <f t="shared" si="307"/>
        <v>0</v>
      </c>
      <c r="AT309" s="130"/>
      <c r="AU309" s="130">
        <f t="shared" si="308"/>
        <v>0</v>
      </c>
      <c r="AV309" s="130"/>
      <c r="AW309" s="130">
        <f t="shared" si="309"/>
        <v>246600.75999573345</v>
      </c>
      <c r="AX309" s="130"/>
      <c r="AY309" s="130">
        <f t="shared" si="310"/>
        <v>0</v>
      </c>
      <c r="BA309" s="82">
        <f t="shared" si="240"/>
        <v>0</v>
      </c>
      <c r="BB309" s="67"/>
      <c r="BC309" s="67"/>
      <c r="BD309" s="67"/>
    </row>
    <row r="310" spans="1:56" s="340" customFormat="1" x14ac:dyDescent="0.2">
      <c r="A310" s="511"/>
      <c r="B310" s="512"/>
      <c r="C310" s="516"/>
      <c r="D310" s="273">
        <v>335</v>
      </c>
      <c r="E310" s="94"/>
      <c r="F310" s="97" t="s">
        <v>572</v>
      </c>
      <c r="G310" s="56"/>
      <c r="H310" s="64">
        <v>8</v>
      </c>
      <c r="J310" s="515">
        <v>16461104.39905577</v>
      </c>
      <c r="K310" s="265"/>
      <c r="L310" s="130">
        <f t="shared" si="295"/>
        <v>0</v>
      </c>
      <c r="M310" s="94"/>
      <c r="N310" s="130">
        <f t="shared" si="296"/>
        <v>0</v>
      </c>
      <c r="O310" s="94"/>
      <c r="P310" s="130">
        <f t="shared" si="297"/>
        <v>0</v>
      </c>
      <c r="Q310" s="94"/>
      <c r="R310" s="130">
        <f t="shared" si="298"/>
        <v>0</v>
      </c>
      <c r="S310" s="94"/>
      <c r="T310" s="130">
        <f t="shared" si="299"/>
        <v>0</v>
      </c>
      <c r="U310" s="94"/>
      <c r="V310" s="130">
        <f t="shared" si="300"/>
        <v>0</v>
      </c>
      <c r="W310" s="94"/>
      <c r="X310" s="130">
        <f t="shared" si="301"/>
        <v>16461104.39905577</v>
      </c>
      <c r="Y310" s="94"/>
      <c r="Z310" s="94">
        <f t="shared" si="280"/>
        <v>0</v>
      </c>
      <c r="AC310" s="97" t="s">
        <v>572</v>
      </c>
      <c r="AE310" s="112">
        <f t="shared" si="290"/>
        <v>8</v>
      </c>
      <c r="AG310" s="94">
        <f t="shared" si="291"/>
        <v>16461104.39905577</v>
      </c>
      <c r="AH310" s="94"/>
      <c r="AI310" s="130">
        <f t="shared" si="302"/>
        <v>0</v>
      </c>
      <c r="AJ310" s="130"/>
      <c r="AK310" s="130">
        <f t="shared" si="303"/>
        <v>0</v>
      </c>
      <c r="AL310" s="130"/>
      <c r="AM310" s="130">
        <f t="shared" si="304"/>
        <v>0</v>
      </c>
      <c r="AN310" s="130"/>
      <c r="AO310" s="130">
        <f t="shared" si="305"/>
        <v>0</v>
      </c>
      <c r="AP310" s="130"/>
      <c r="AQ310" s="130">
        <f t="shared" si="306"/>
        <v>0</v>
      </c>
      <c r="AR310" s="130"/>
      <c r="AS310" s="130">
        <f t="shared" si="307"/>
        <v>0</v>
      </c>
      <c r="AT310" s="130"/>
      <c r="AU310" s="130">
        <f t="shared" si="308"/>
        <v>0</v>
      </c>
      <c r="AV310" s="130"/>
      <c r="AW310" s="130">
        <f t="shared" si="309"/>
        <v>0</v>
      </c>
      <c r="AX310" s="130"/>
      <c r="AY310" s="130">
        <f t="shared" si="310"/>
        <v>16461104.39905577</v>
      </c>
      <c r="BA310" s="82">
        <f t="shared" si="240"/>
        <v>0</v>
      </c>
      <c r="BB310" s="67"/>
      <c r="BC310" s="67"/>
      <c r="BD310" s="67"/>
    </row>
    <row r="311" spans="1:56" s="340" customFormat="1" x14ac:dyDescent="0.2">
      <c r="A311" s="511"/>
      <c r="B311" s="512"/>
      <c r="C311" s="516"/>
      <c r="D311" s="273">
        <v>304.5</v>
      </c>
      <c r="E311" s="94"/>
      <c r="F311" s="97" t="s">
        <v>573</v>
      </c>
      <c r="G311" s="56"/>
      <c r="H311" s="64">
        <v>15</v>
      </c>
      <c r="J311" s="515">
        <v>13907446.999916159</v>
      </c>
      <c r="K311" s="265"/>
      <c r="L311" s="130">
        <f t="shared" si="295"/>
        <v>8952223.6338460315</v>
      </c>
      <c r="M311" s="94"/>
      <c r="N311" s="130">
        <f t="shared" si="296"/>
        <v>2948378.7639822257</v>
      </c>
      <c r="O311" s="94"/>
      <c r="P311" s="130">
        <f t="shared" si="297"/>
        <v>329606.49389801297</v>
      </c>
      <c r="Q311" s="94"/>
      <c r="R311" s="130">
        <f t="shared" si="298"/>
        <v>712061.2863957074</v>
      </c>
      <c r="S311" s="94"/>
      <c r="T311" s="130">
        <f t="shared" si="299"/>
        <v>219737.66259867532</v>
      </c>
      <c r="U311" s="94"/>
      <c r="V311" s="130">
        <f t="shared" si="300"/>
        <v>390799.26069764403</v>
      </c>
      <c r="W311" s="94"/>
      <c r="X311" s="130">
        <f t="shared" si="301"/>
        <v>354639.89849786204</v>
      </c>
      <c r="Y311" s="94"/>
      <c r="Z311" s="94">
        <f t="shared" si="280"/>
        <v>0</v>
      </c>
      <c r="AC311" s="97" t="s">
        <v>573</v>
      </c>
      <c r="AE311" s="112">
        <f t="shared" si="290"/>
        <v>15</v>
      </c>
      <c r="AG311" s="94">
        <f t="shared" si="291"/>
        <v>13907446.999916159</v>
      </c>
      <c r="AH311" s="94"/>
      <c r="AI311" s="130">
        <f t="shared" si="302"/>
        <v>3727195.7959775305</v>
      </c>
      <c r="AJ311" s="130"/>
      <c r="AK311" s="130">
        <f t="shared" si="303"/>
        <v>2225191.5199865852</v>
      </c>
      <c r="AL311" s="130"/>
      <c r="AM311" s="130">
        <f t="shared" si="304"/>
        <v>1175179.2714929155</v>
      </c>
      <c r="AN311" s="130"/>
      <c r="AO311" s="130">
        <f t="shared" si="305"/>
        <v>2383736.4157856298</v>
      </c>
      <c r="AP311" s="130"/>
      <c r="AQ311" s="130">
        <f t="shared" si="306"/>
        <v>451992.02749727515</v>
      </c>
      <c r="AR311" s="130"/>
      <c r="AS311" s="130">
        <f t="shared" si="307"/>
        <v>2264132.3715863507</v>
      </c>
      <c r="AT311" s="130"/>
      <c r="AU311" s="130">
        <f t="shared" si="308"/>
        <v>965176.82179418148</v>
      </c>
      <c r="AV311" s="130"/>
      <c r="AW311" s="130">
        <f t="shared" si="309"/>
        <v>360202.8772978285</v>
      </c>
      <c r="AX311" s="130"/>
      <c r="AY311" s="130">
        <f t="shared" si="310"/>
        <v>354639.89849786204</v>
      </c>
      <c r="BA311" s="82">
        <f t="shared" si="240"/>
        <v>0</v>
      </c>
      <c r="BB311" s="67"/>
      <c r="BC311" s="67"/>
      <c r="BD311" s="67"/>
    </row>
    <row r="312" spans="1:56" s="340" customFormat="1" x14ac:dyDescent="0.2">
      <c r="A312" s="511"/>
      <c r="B312" s="512"/>
      <c r="C312" s="516"/>
      <c r="D312" s="273">
        <v>340.1</v>
      </c>
      <c r="E312" s="94"/>
      <c r="F312" s="223" t="s">
        <v>457</v>
      </c>
      <c r="G312" s="547"/>
      <c r="H312" s="417">
        <v>15</v>
      </c>
      <c r="I312" s="225"/>
      <c r="J312" s="515">
        <v>2200143.5391712985</v>
      </c>
      <c r="K312" s="265"/>
      <c r="L312" s="130">
        <f t="shared" si="295"/>
        <v>1416232.3961645649</v>
      </c>
      <c r="M312" s="94"/>
      <c r="N312" s="130">
        <f t="shared" si="296"/>
        <v>466430.43030431529</v>
      </c>
      <c r="O312" s="94"/>
      <c r="P312" s="130">
        <f t="shared" si="297"/>
        <v>52143.401878359771</v>
      </c>
      <c r="Q312" s="94"/>
      <c r="R312" s="130">
        <f t="shared" si="298"/>
        <v>112647.34920557048</v>
      </c>
      <c r="S312" s="94"/>
      <c r="T312" s="130">
        <f t="shared" si="299"/>
        <v>34762.267918906517</v>
      </c>
      <c r="U312" s="94"/>
      <c r="V312" s="130">
        <f t="shared" si="300"/>
        <v>61824.03345071349</v>
      </c>
      <c r="W312" s="94"/>
      <c r="X312" s="130">
        <f t="shared" si="301"/>
        <v>56103.660248868109</v>
      </c>
      <c r="Y312" s="94"/>
      <c r="Z312" s="94">
        <f t="shared" si="280"/>
        <v>0</v>
      </c>
      <c r="AC312" s="97" t="s">
        <v>457</v>
      </c>
      <c r="AE312" s="112">
        <f t="shared" si="290"/>
        <v>15</v>
      </c>
      <c r="AG312" s="94">
        <f t="shared" si="291"/>
        <v>2200143.5391712985</v>
      </c>
      <c r="AH312" s="94"/>
      <c r="AI312" s="130">
        <f t="shared" si="302"/>
        <v>589638.46849790798</v>
      </c>
      <c r="AJ312" s="130"/>
      <c r="AK312" s="130">
        <f t="shared" si="303"/>
        <v>352022.96626740776</v>
      </c>
      <c r="AL312" s="130"/>
      <c r="AM312" s="130">
        <f t="shared" si="304"/>
        <v>185912.12905997474</v>
      </c>
      <c r="AN312" s="130"/>
      <c r="AO312" s="130">
        <f t="shared" si="305"/>
        <v>377104.60261396057</v>
      </c>
      <c r="AP312" s="130"/>
      <c r="AQ312" s="130">
        <f t="shared" si="306"/>
        <v>71504.665023067209</v>
      </c>
      <c r="AR312" s="130"/>
      <c r="AS312" s="130">
        <f t="shared" si="307"/>
        <v>358183.3681770874</v>
      </c>
      <c r="AT312" s="130"/>
      <c r="AU312" s="130">
        <f t="shared" si="308"/>
        <v>152689.96161848813</v>
      </c>
      <c r="AV312" s="130"/>
      <c r="AW312" s="130">
        <f t="shared" si="309"/>
        <v>56983.717664536627</v>
      </c>
      <c r="AX312" s="130"/>
      <c r="AY312" s="130">
        <f t="shared" si="310"/>
        <v>56103.660248868109</v>
      </c>
      <c r="BA312" s="82">
        <f t="shared" si="240"/>
        <v>0</v>
      </c>
      <c r="BB312" s="67"/>
      <c r="BC312" s="67"/>
      <c r="BD312" s="67"/>
    </row>
    <row r="313" spans="1:56" s="340" customFormat="1" x14ac:dyDescent="0.2">
      <c r="A313" s="511"/>
      <c r="B313" s="512"/>
      <c r="C313" s="516"/>
      <c r="D313" s="273">
        <v>340.2</v>
      </c>
      <c r="E313" s="94"/>
      <c r="F313" s="223" t="s">
        <v>574</v>
      </c>
      <c r="G313" s="547"/>
      <c r="H313" s="417">
        <v>15</v>
      </c>
      <c r="I313" s="225"/>
      <c r="J313" s="515">
        <v>5069233.5415010974</v>
      </c>
      <c r="K313" s="265"/>
      <c r="L313" s="130">
        <f t="shared" si="295"/>
        <v>3263065.6306642569</v>
      </c>
      <c r="M313" s="94"/>
      <c r="N313" s="130">
        <f t="shared" si="296"/>
        <v>1074677.5107982326</v>
      </c>
      <c r="O313" s="94"/>
      <c r="P313" s="130">
        <f t="shared" si="297"/>
        <v>120140.834933576</v>
      </c>
      <c r="Q313" s="94"/>
      <c r="R313" s="130">
        <f t="shared" si="298"/>
        <v>259544.75732485621</v>
      </c>
      <c r="S313" s="94"/>
      <c r="T313" s="130">
        <f t="shared" si="299"/>
        <v>80093.889955717343</v>
      </c>
      <c r="U313" s="94"/>
      <c r="V313" s="130">
        <f t="shared" si="300"/>
        <v>142445.46251618085</v>
      </c>
      <c r="W313" s="94"/>
      <c r="X313" s="130">
        <f t="shared" si="301"/>
        <v>129265.45530827797</v>
      </c>
      <c r="Y313" s="94"/>
      <c r="Z313" s="94">
        <f t="shared" si="280"/>
        <v>0</v>
      </c>
      <c r="AC313" s="97" t="s">
        <v>574</v>
      </c>
      <c r="AE313" s="112">
        <f t="shared" si="290"/>
        <v>15</v>
      </c>
      <c r="AG313" s="94">
        <f t="shared" si="291"/>
        <v>5069233.5415010974</v>
      </c>
      <c r="AH313" s="94"/>
      <c r="AI313" s="130">
        <f t="shared" si="302"/>
        <v>1358554.5891222942</v>
      </c>
      <c r="AJ313" s="130"/>
      <c r="AK313" s="130">
        <f t="shared" si="303"/>
        <v>811077.36664017558</v>
      </c>
      <c r="AL313" s="130"/>
      <c r="AM313" s="130">
        <f t="shared" si="304"/>
        <v>428350.23425684276</v>
      </c>
      <c r="AN313" s="130"/>
      <c r="AO313" s="130">
        <f t="shared" si="305"/>
        <v>868866.62901328807</v>
      </c>
      <c r="AP313" s="130"/>
      <c r="AQ313" s="130">
        <f t="shared" si="306"/>
        <v>164750.09009878567</v>
      </c>
      <c r="AR313" s="130"/>
      <c r="AS313" s="130">
        <f t="shared" si="307"/>
        <v>825271.2205563786</v>
      </c>
      <c r="AT313" s="130"/>
      <c r="AU313" s="130">
        <f t="shared" si="308"/>
        <v>351804.80778017617</v>
      </c>
      <c r="AV313" s="130"/>
      <c r="AW313" s="130">
        <f t="shared" si="309"/>
        <v>131293.14872487841</v>
      </c>
      <c r="AX313" s="130"/>
      <c r="AY313" s="130">
        <f t="shared" si="310"/>
        <v>129265.45530827797</v>
      </c>
      <c r="BA313" s="82">
        <f t="shared" si="240"/>
        <v>0</v>
      </c>
      <c r="BB313" s="67"/>
      <c r="BC313" s="67"/>
      <c r="BD313" s="67"/>
    </row>
    <row r="314" spans="1:56" s="340" customFormat="1" x14ac:dyDescent="0.2">
      <c r="A314" s="511"/>
      <c r="B314" s="516"/>
      <c r="C314" s="516"/>
      <c r="D314" s="273">
        <v>340.3</v>
      </c>
      <c r="E314" s="94"/>
      <c r="F314" s="223" t="s">
        <v>588</v>
      </c>
      <c r="G314" s="547"/>
      <c r="H314" s="417">
        <v>13</v>
      </c>
      <c r="I314" s="225"/>
      <c r="J314" s="515">
        <v>1306230.525135939</v>
      </c>
      <c r="K314" s="265"/>
      <c r="L314" s="130">
        <f t="shared" si="295"/>
        <v>1177436.1953575355</v>
      </c>
      <c r="M314" s="94"/>
      <c r="N314" s="130">
        <f t="shared" si="296"/>
        <v>89868.660129352604</v>
      </c>
      <c r="O314" s="94"/>
      <c r="P314" s="130">
        <f t="shared" si="297"/>
        <v>522.49221005437562</v>
      </c>
      <c r="Q314" s="94"/>
      <c r="R314" s="130">
        <f t="shared" si="298"/>
        <v>7837.3831508156345</v>
      </c>
      <c r="S314" s="94"/>
      <c r="T314" s="130">
        <f t="shared" si="299"/>
        <v>130.6230525135939</v>
      </c>
      <c r="U314" s="94"/>
      <c r="V314" s="130">
        <f t="shared" si="300"/>
        <v>30043.302078126595</v>
      </c>
      <c r="W314" s="94"/>
      <c r="X314" s="130">
        <f t="shared" si="301"/>
        <v>391.86915754078166</v>
      </c>
      <c r="Y314" s="94"/>
      <c r="Z314" s="94">
        <f t="shared" si="280"/>
        <v>0</v>
      </c>
      <c r="AC314" s="97" t="s">
        <v>588</v>
      </c>
      <c r="AE314" s="112">
        <f t="shared" si="290"/>
        <v>13</v>
      </c>
      <c r="AG314" s="94">
        <f t="shared" si="291"/>
        <v>1306230.525135939</v>
      </c>
      <c r="AH314" s="94"/>
      <c r="AI314" s="130">
        <f t="shared" si="302"/>
        <v>0</v>
      </c>
      <c r="AJ314" s="130"/>
      <c r="AK314" s="130">
        <f t="shared" si="303"/>
        <v>0</v>
      </c>
      <c r="AL314" s="130"/>
      <c r="AM314" s="130">
        <f t="shared" si="304"/>
        <v>0</v>
      </c>
      <c r="AN314" s="130"/>
      <c r="AO314" s="130">
        <f t="shared" si="305"/>
        <v>0</v>
      </c>
      <c r="AP314" s="130"/>
      <c r="AQ314" s="130">
        <f t="shared" si="306"/>
        <v>0</v>
      </c>
      <c r="AR314" s="130"/>
      <c r="AS314" s="130">
        <f t="shared" si="307"/>
        <v>1275795.3539002717</v>
      </c>
      <c r="AT314" s="130"/>
      <c r="AU314" s="130">
        <f t="shared" si="308"/>
        <v>0</v>
      </c>
      <c r="AV314" s="130"/>
      <c r="AW314" s="130">
        <f t="shared" si="309"/>
        <v>30043.302078126595</v>
      </c>
      <c r="AX314" s="130"/>
      <c r="AY314" s="130">
        <f t="shared" si="310"/>
        <v>391.86915754078166</v>
      </c>
      <c r="BA314" s="82">
        <f t="shared" si="240"/>
        <v>0</v>
      </c>
      <c r="BB314" s="67"/>
      <c r="BC314" s="67"/>
      <c r="BD314" s="67"/>
    </row>
    <row r="315" spans="1:56" s="340" customFormat="1" x14ac:dyDescent="0.2">
      <c r="A315" s="511"/>
      <c r="B315" s="512"/>
      <c r="C315" s="516"/>
      <c r="D315" s="273">
        <v>340.3</v>
      </c>
      <c r="E315" s="94"/>
      <c r="F315" s="223" t="s">
        <v>589</v>
      </c>
      <c r="G315" s="547"/>
      <c r="H315" s="417">
        <v>15</v>
      </c>
      <c r="I315" s="225"/>
      <c r="J315" s="515">
        <v>2529725.5881973924</v>
      </c>
      <c r="K315" s="265"/>
      <c r="L315" s="130">
        <f t="shared" si="295"/>
        <v>1628384.3611226617</v>
      </c>
      <c r="M315" s="94"/>
      <c r="N315" s="130">
        <f t="shared" si="296"/>
        <v>536301.82469784713</v>
      </c>
      <c r="O315" s="94"/>
      <c r="P315" s="130">
        <f t="shared" si="297"/>
        <v>59954.496440278199</v>
      </c>
      <c r="Q315" s="94"/>
      <c r="R315" s="130">
        <f t="shared" si="298"/>
        <v>129521.9501157065</v>
      </c>
      <c r="S315" s="94"/>
      <c r="T315" s="130">
        <f t="shared" si="299"/>
        <v>39969.664293518807</v>
      </c>
      <c r="U315" s="94"/>
      <c r="V315" s="130">
        <f t="shared" si="300"/>
        <v>71085.289028346728</v>
      </c>
      <c r="W315" s="94"/>
      <c r="X315" s="130">
        <f t="shared" si="301"/>
        <v>64508.0024990335</v>
      </c>
      <c r="Y315" s="94"/>
      <c r="Z315" s="94">
        <f t="shared" si="280"/>
        <v>0</v>
      </c>
      <c r="AC315" s="97" t="s">
        <v>589</v>
      </c>
      <c r="AE315" s="112">
        <f t="shared" si="290"/>
        <v>15</v>
      </c>
      <c r="AG315" s="94">
        <f t="shared" si="291"/>
        <v>2529725.5881973924</v>
      </c>
      <c r="AH315" s="94"/>
      <c r="AI315" s="130">
        <f t="shared" si="302"/>
        <v>677966.45763690118</v>
      </c>
      <c r="AJ315" s="130"/>
      <c r="AK315" s="130">
        <f t="shared" si="303"/>
        <v>404756.09411158279</v>
      </c>
      <c r="AL315" s="130"/>
      <c r="AM315" s="130">
        <f t="shared" si="304"/>
        <v>213761.81220267966</v>
      </c>
      <c r="AN315" s="130"/>
      <c r="AO315" s="130">
        <f t="shared" si="305"/>
        <v>433594.96581703302</v>
      </c>
      <c r="AP315" s="130"/>
      <c r="AQ315" s="130">
        <f t="shared" si="306"/>
        <v>82216.081616415249</v>
      </c>
      <c r="AR315" s="130"/>
      <c r="AS315" s="130">
        <f t="shared" si="307"/>
        <v>411839.32575853547</v>
      </c>
      <c r="AT315" s="130"/>
      <c r="AU315" s="130">
        <f t="shared" si="308"/>
        <v>175562.95582089905</v>
      </c>
      <c r="AV315" s="130"/>
      <c r="AW315" s="130">
        <f t="shared" si="309"/>
        <v>65519.89273431246</v>
      </c>
      <c r="AX315" s="130"/>
      <c r="AY315" s="130">
        <f t="shared" si="310"/>
        <v>64508.0024990335</v>
      </c>
      <c r="BA315" s="82">
        <f t="shared" si="240"/>
        <v>0</v>
      </c>
      <c r="BB315" s="67"/>
      <c r="BC315" s="67"/>
      <c r="BD315" s="67"/>
    </row>
    <row r="316" spans="1:56" s="340" customFormat="1" x14ac:dyDescent="0.2">
      <c r="A316" s="511"/>
      <c r="B316" s="512"/>
      <c r="C316" s="516"/>
      <c r="D316" s="273">
        <v>341</v>
      </c>
      <c r="E316" s="94"/>
      <c r="F316" s="223" t="s">
        <v>575</v>
      </c>
      <c r="G316" s="547"/>
      <c r="H316" s="417">
        <v>15</v>
      </c>
      <c r="I316" s="225"/>
      <c r="J316" s="515">
        <v>4715750.9487591423</v>
      </c>
      <c r="K316" s="265"/>
      <c r="L316" s="130">
        <f t="shared" si="295"/>
        <v>3035528.8857162599</v>
      </c>
      <c r="M316" s="94"/>
      <c r="N316" s="130">
        <f t="shared" si="296"/>
        <v>999739.20113693818</v>
      </c>
      <c r="O316" s="94"/>
      <c r="P316" s="130">
        <f t="shared" si="297"/>
        <v>111763.29748559167</v>
      </c>
      <c r="Q316" s="94"/>
      <c r="R316" s="130">
        <f t="shared" si="298"/>
        <v>241446.4485764681</v>
      </c>
      <c r="S316" s="94"/>
      <c r="T316" s="130">
        <f t="shared" si="299"/>
        <v>74508.864990394461</v>
      </c>
      <c r="U316" s="94"/>
      <c r="V316" s="130">
        <f t="shared" si="300"/>
        <v>132512.60166013188</v>
      </c>
      <c r="W316" s="94"/>
      <c r="X316" s="130">
        <f t="shared" si="301"/>
        <v>120251.64919335813</v>
      </c>
      <c r="Y316" s="94"/>
      <c r="Z316" s="94">
        <f t="shared" si="280"/>
        <v>0</v>
      </c>
      <c r="AC316" s="97" t="s">
        <v>575</v>
      </c>
      <c r="AE316" s="112">
        <f t="shared" si="290"/>
        <v>15</v>
      </c>
      <c r="AG316" s="94">
        <f t="shared" si="291"/>
        <v>4715750.9487591423</v>
      </c>
      <c r="AH316" s="94"/>
      <c r="AI316" s="130">
        <f t="shared" si="302"/>
        <v>1263821.2542674502</v>
      </c>
      <c r="AJ316" s="130"/>
      <c r="AK316" s="130">
        <f t="shared" si="303"/>
        <v>754520.15180146275</v>
      </c>
      <c r="AL316" s="130"/>
      <c r="AM316" s="130">
        <f t="shared" si="304"/>
        <v>398480.95517014753</v>
      </c>
      <c r="AN316" s="130"/>
      <c r="AO316" s="130">
        <f t="shared" si="305"/>
        <v>808279.71261731698</v>
      </c>
      <c r="AP316" s="130"/>
      <c r="AQ316" s="130">
        <f t="shared" si="306"/>
        <v>153261.90583467213</v>
      </c>
      <c r="AR316" s="130"/>
      <c r="AS316" s="130">
        <f t="shared" si="307"/>
        <v>767724.25445798843</v>
      </c>
      <c r="AT316" s="130"/>
      <c r="AU316" s="130">
        <f t="shared" si="308"/>
        <v>327273.11584388447</v>
      </c>
      <c r="AV316" s="130"/>
      <c r="AW316" s="130">
        <f t="shared" si="309"/>
        <v>122137.94957286178</v>
      </c>
      <c r="AX316" s="130"/>
      <c r="AY316" s="130">
        <f t="shared" si="310"/>
        <v>120251.64919335813</v>
      </c>
      <c r="BA316" s="82">
        <f t="shared" si="240"/>
        <v>0</v>
      </c>
      <c r="BB316" s="67"/>
      <c r="BC316" s="67"/>
      <c r="BD316" s="67"/>
    </row>
    <row r="317" spans="1:56" s="340" customFormat="1" x14ac:dyDescent="0.2">
      <c r="A317" s="511"/>
      <c r="B317" s="512"/>
      <c r="C317" s="516"/>
      <c r="D317" s="273">
        <v>342</v>
      </c>
      <c r="E317" s="94"/>
      <c r="F317" s="223" t="s">
        <v>468</v>
      </c>
      <c r="G317" s="547"/>
      <c r="H317" s="417">
        <v>15</v>
      </c>
      <c r="I317" s="225"/>
      <c r="J317" s="515">
        <v>60600.536680555517</v>
      </c>
      <c r="K317" s="265"/>
      <c r="L317" s="130">
        <f t="shared" si="295"/>
        <v>39008.565461273589</v>
      </c>
      <c r="M317" s="94"/>
      <c r="N317" s="130">
        <f t="shared" si="296"/>
        <v>12847.31377627777</v>
      </c>
      <c r="O317" s="94"/>
      <c r="P317" s="130">
        <f t="shared" si="297"/>
        <v>1436.2327193291658</v>
      </c>
      <c r="Q317" s="94"/>
      <c r="R317" s="130">
        <f t="shared" si="298"/>
        <v>3102.7474780444427</v>
      </c>
      <c r="S317" s="94"/>
      <c r="T317" s="130">
        <f t="shared" si="299"/>
        <v>957.48847955277722</v>
      </c>
      <c r="U317" s="94"/>
      <c r="V317" s="130">
        <f t="shared" si="300"/>
        <v>1702.8750807236099</v>
      </c>
      <c r="W317" s="94"/>
      <c r="X317" s="130">
        <f t="shared" si="301"/>
        <v>1545.3136853541655</v>
      </c>
      <c r="Y317" s="94"/>
      <c r="Z317" s="94">
        <f t="shared" si="280"/>
        <v>0</v>
      </c>
      <c r="AC317" s="97" t="s">
        <v>468</v>
      </c>
      <c r="AE317" s="112">
        <f t="shared" si="290"/>
        <v>15</v>
      </c>
      <c r="AG317" s="94">
        <f t="shared" si="291"/>
        <v>60600.536680555517</v>
      </c>
      <c r="AH317" s="94"/>
      <c r="AI317" s="130">
        <f t="shared" si="302"/>
        <v>16240.94383038888</v>
      </c>
      <c r="AJ317" s="130"/>
      <c r="AK317" s="130">
        <f t="shared" si="303"/>
        <v>9696.085868888882</v>
      </c>
      <c r="AL317" s="130"/>
      <c r="AM317" s="130">
        <f t="shared" si="304"/>
        <v>5120.7453495069412</v>
      </c>
      <c r="AN317" s="130"/>
      <c r="AO317" s="130">
        <f t="shared" si="305"/>
        <v>10386.931987047215</v>
      </c>
      <c r="AP317" s="130"/>
      <c r="AQ317" s="130">
        <f t="shared" si="306"/>
        <v>1969.5174421180543</v>
      </c>
      <c r="AR317" s="130"/>
      <c r="AS317" s="130">
        <f t="shared" si="307"/>
        <v>9865.7673715944384</v>
      </c>
      <c r="AT317" s="130"/>
      <c r="AU317" s="130">
        <f t="shared" si="308"/>
        <v>4205.6772456305534</v>
      </c>
      <c r="AV317" s="130"/>
      <c r="AW317" s="130">
        <f t="shared" si="309"/>
        <v>1569.5539000263877</v>
      </c>
      <c r="AX317" s="130"/>
      <c r="AY317" s="130">
        <f t="shared" si="310"/>
        <v>1545.3136853541655</v>
      </c>
      <c r="BA317" s="82">
        <f t="shared" si="240"/>
        <v>0</v>
      </c>
      <c r="BB317" s="67"/>
      <c r="BC317" s="67"/>
      <c r="BD317" s="67"/>
    </row>
    <row r="318" spans="1:56" s="340" customFormat="1" x14ac:dyDescent="0.2">
      <c r="A318" s="511"/>
      <c r="B318" s="512"/>
      <c r="C318" s="516"/>
      <c r="D318" s="273">
        <v>343</v>
      </c>
      <c r="E318" s="94"/>
      <c r="F318" s="97" t="s">
        <v>469</v>
      </c>
      <c r="G318" s="56"/>
      <c r="H318" s="64">
        <v>15</v>
      </c>
      <c r="J318" s="515">
        <v>2106333.5671089697</v>
      </c>
      <c r="K318" s="265"/>
      <c r="L318" s="130">
        <f t="shared" si="295"/>
        <v>1355846.9171480439</v>
      </c>
      <c r="M318" s="94"/>
      <c r="N318" s="130">
        <f t="shared" si="296"/>
        <v>446542.71622710157</v>
      </c>
      <c r="O318" s="94"/>
      <c r="P318" s="130">
        <f t="shared" si="297"/>
        <v>49920.105540482582</v>
      </c>
      <c r="Q318" s="94"/>
      <c r="R318" s="130">
        <f t="shared" si="298"/>
        <v>107844.27863597925</v>
      </c>
      <c r="S318" s="94"/>
      <c r="T318" s="130">
        <f t="shared" si="299"/>
        <v>33280.070360321726</v>
      </c>
      <c r="U318" s="94"/>
      <c r="V318" s="130">
        <f t="shared" si="300"/>
        <v>59187.973235762045</v>
      </c>
      <c r="W318" s="94"/>
      <c r="X318" s="130">
        <f t="shared" si="301"/>
        <v>53711.505961278723</v>
      </c>
      <c r="Y318" s="94"/>
      <c r="Z318" s="94">
        <f t="shared" si="280"/>
        <v>0</v>
      </c>
      <c r="AC318" s="97" t="s">
        <v>469</v>
      </c>
      <c r="AE318" s="112">
        <f t="shared" si="290"/>
        <v>15</v>
      </c>
      <c r="AG318" s="94">
        <f t="shared" si="291"/>
        <v>2106333.5671089697</v>
      </c>
      <c r="AH318" s="94"/>
      <c r="AI318" s="130">
        <f t="shared" si="302"/>
        <v>564497.39598520391</v>
      </c>
      <c r="AJ318" s="130"/>
      <c r="AK318" s="130">
        <f t="shared" si="303"/>
        <v>337013.37073743518</v>
      </c>
      <c r="AL318" s="130"/>
      <c r="AM318" s="130">
        <f t="shared" si="304"/>
        <v>177985.18642070796</v>
      </c>
      <c r="AN318" s="130"/>
      <c r="AO318" s="130">
        <f t="shared" si="305"/>
        <v>361025.57340247737</v>
      </c>
      <c r="AP318" s="130"/>
      <c r="AQ318" s="130">
        <f t="shared" si="306"/>
        <v>68455.840931041515</v>
      </c>
      <c r="AR318" s="130"/>
      <c r="AS318" s="130">
        <f t="shared" si="307"/>
        <v>342911.10472534026</v>
      </c>
      <c r="AT318" s="130"/>
      <c r="AU318" s="130">
        <f t="shared" si="308"/>
        <v>146179.54955736251</v>
      </c>
      <c r="AV318" s="130"/>
      <c r="AW318" s="130">
        <f t="shared" si="309"/>
        <v>54554.039388122314</v>
      </c>
      <c r="AX318" s="130"/>
      <c r="AY318" s="130">
        <f t="shared" si="310"/>
        <v>53711.505961278723</v>
      </c>
      <c r="BA318" s="82">
        <f t="shared" si="240"/>
        <v>0</v>
      </c>
      <c r="BB318" s="67"/>
      <c r="BC318" s="67"/>
      <c r="BD318" s="67"/>
    </row>
    <row r="319" spans="1:56" s="340" customFormat="1" x14ac:dyDescent="0.2">
      <c r="A319" s="511"/>
      <c r="B319" s="512"/>
      <c r="C319" s="516"/>
      <c r="D319" s="273">
        <v>344</v>
      </c>
      <c r="E319" s="94"/>
      <c r="F319" s="97" t="s">
        <v>470</v>
      </c>
      <c r="G319" s="56"/>
      <c r="H319" s="64">
        <v>2</v>
      </c>
      <c r="J319" s="515">
        <v>830371.84190703661</v>
      </c>
      <c r="K319" s="265"/>
      <c r="L319" s="130">
        <f t="shared" si="295"/>
        <v>416182.36716380675</v>
      </c>
      <c r="M319" s="94"/>
      <c r="N319" s="130">
        <f t="shared" si="296"/>
        <v>268044.03056759137</v>
      </c>
      <c r="O319" s="94"/>
      <c r="P319" s="130">
        <f t="shared" si="297"/>
        <v>39442.66249058424</v>
      </c>
      <c r="Q319" s="94"/>
      <c r="R319" s="130">
        <f t="shared" si="298"/>
        <v>76477.246639638077</v>
      </c>
      <c r="S319" s="94"/>
      <c r="T319" s="130">
        <f t="shared" si="299"/>
        <v>27236.196414550795</v>
      </c>
      <c r="U319" s="94"/>
      <c r="V319" s="130">
        <f t="shared" si="300"/>
        <v>1494.6693154326658</v>
      </c>
      <c r="W319" s="94"/>
      <c r="X319" s="130">
        <f t="shared" si="301"/>
        <v>1494.6693154326658</v>
      </c>
      <c r="Y319" s="94"/>
      <c r="Z319" s="94">
        <f t="shared" si="280"/>
        <v>0</v>
      </c>
      <c r="AC319" s="97" t="s">
        <v>470</v>
      </c>
      <c r="AE319" s="112">
        <f t="shared" si="290"/>
        <v>2</v>
      </c>
      <c r="AG319" s="94">
        <f t="shared" si="291"/>
        <v>830371.84190703661</v>
      </c>
      <c r="AH319" s="94"/>
      <c r="AI319" s="130">
        <f t="shared" si="302"/>
        <v>471485.13183481537</v>
      </c>
      <c r="AJ319" s="130"/>
      <c r="AK319" s="130">
        <f t="shared" si="303"/>
        <v>355897.37144135585</v>
      </c>
      <c r="AL319" s="130"/>
      <c r="AM319" s="130">
        <f t="shared" si="304"/>
        <v>0</v>
      </c>
      <c r="AN319" s="130"/>
      <c r="AO319" s="130">
        <f t="shared" si="305"/>
        <v>0</v>
      </c>
      <c r="AP319" s="130"/>
      <c r="AQ319" s="130">
        <f t="shared" si="306"/>
        <v>0</v>
      </c>
      <c r="AR319" s="130"/>
      <c r="AS319" s="130">
        <f t="shared" si="307"/>
        <v>0</v>
      </c>
      <c r="AT319" s="130"/>
      <c r="AU319" s="130">
        <f t="shared" si="308"/>
        <v>0</v>
      </c>
      <c r="AV319" s="130"/>
      <c r="AW319" s="130">
        <f t="shared" si="309"/>
        <v>1494.6693154326658</v>
      </c>
      <c r="AX319" s="130"/>
      <c r="AY319" s="130">
        <f t="shared" si="310"/>
        <v>1494.6693154326658</v>
      </c>
      <c r="BA319" s="82">
        <f t="shared" si="240"/>
        <v>0</v>
      </c>
      <c r="BB319" s="67"/>
      <c r="BC319" s="67"/>
      <c r="BD319" s="67"/>
    </row>
    <row r="320" spans="1:56" s="340" customFormat="1" ht="15" customHeight="1" x14ac:dyDescent="0.2">
      <c r="A320" s="511"/>
      <c r="B320" s="512"/>
      <c r="C320" s="516"/>
      <c r="D320" s="273">
        <v>345</v>
      </c>
      <c r="E320" s="94"/>
      <c r="F320" s="97" t="s">
        <v>471</v>
      </c>
      <c r="G320" s="56"/>
      <c r="H320" s="64">
        <v>15</v>
      </c>
      <c r="J320" s="515">
        <v>345164.56892456464</v>
      </c>
      <c r="K320" s="265"/>
      <c r="L320" s="130">
        <f t="shared" si="295"/>
        <v>222182.43301674226</v>
      </c>
      <c r="M320" s="94"/>
      <c r="N320" s="130">
        <f t="shared" si="296"/>
        <v>73174.888612007708</v>
      </c>
      <c r="O320" s="94"/>
      <c r="P320" s="130">
        <f t="shared" si="297"/>
        <v>8180.4002835121819</v>
      </c>
      <c r="Q320" s="94"/>
      <c r="R320" s="130">
        <f t="shared" si="298"/>
        <v>17672.425928937711</v>
      </c>
      <c r="S320" s="94"/>
      <c r="T320" s="130">
        <f t="shared" si="299"/>
        <v>5453.6001890081216</v>
      </c>
      <c r="U320" s="94"/>
      <c r="V320" s="130">
        <f t="shared" si="300"/>
        <v>9699.1243867802659</v>
      </c>
      <c r="W320" s="94"/>
      <c r="X320" s="130">
        <f t="shared" si="301"/>
        <v>8801.6965075763983</v>
      </c>
      <c r="Y320" s="94"/>
      <c r="Z320" s="94">
        <f t="shared" si="280"/>
        <v>0</v>
      </c>
      <c r="AC320" s="97" t="s">
        <v>471</v>
      </c>
      <c r="AE320" s="112">
        <f t="shared" si="290"/>
        <v>15</v>
      </c>
      <c r="AG320" s="94">
        <f t="shared" si="291"/>
        <v>345164.56892456464</v>
      </c>
      <c r="AH320" s="94"/>
      <c r="AI320" s="130">
        <f t="shared" si="302"/>
        <v>92504.104471783328</v>
      </c>
      <c r="AJ320" s="130"/>
      <c r="AK320" s="130">
        <f t="shared" si="303"/>
        <v>55226.33102793034</v>
      </c>
      <c r="AL320" s="130"/>
      <c r="AM320" s="130">
        <f t="shared" si="304"/>
        <v>29166.406074125713</v>
      </c>
      <c r="AN320" s="130"/>
      <c r="AO320" s="130">
        <f t="shared" si="305"/>
        <v>59161.207113670374</v>
      </c>
      <c r="AP320" s="130"/>
      <c r="AQ320" s="130">
        <f t="shared" si="306"/>
        <v>11217.848490048351</v>
      </c>
      <c r="AR320" s="130"/>
      <c r="AS320" s="130">
        <f t="shared" si="307"/>
        <v>56192.791820919119</v>
      </c>
      <c r="AT320" s="130"/>
      <c r="AU320" s="130">
        <f t="shared" si="308"/>
        <v>23954.421083364789</v>
      </c>
      <c r="AV320" s="130"/>
      <c r="AW320" s="130">
        <f t="shared" si="309"/>
        <v>8939.7623351462244</v>
      </c>
      <c r="AX320" s="130"/>
      <c r="AY320" s="130">
        <f t="shared" si="310"/>
        <v>8801.6965075763983</v>
      </c>
      <c r="BA320" s="82">
        <f t="shared" si="240"/>
        <v>0</v>
      </c>
      <c r="BB320" s="67"/>
      <c r="BC320" s="67"/>
      <c r="BD320" s="67"/>
    </row>
    <row r="321" spans="1:56" s="340" customFormat="1" x14ac:dyDescent="0.2">
      <c r="A321" s="511"/>
      <c r="B321" s="512"/>
      <c r="C321" s="516"/>
      <c r="D321" s="273">
        <v>346</v>
      </c>
      <c r="E321" s="94"/>
      <c r="F321" s="97" t="s">
        <v>472</v>
      </c>
      <c r="G321" s="56"/>
      <c r="H321" s="64">
        <v>15</v>
      </c>
      <c r="J321" s="515">
        <v>2565917.5489473734</v>
      </c>
      <c r="K321" s="265"/>
      <c r="L321" s="130">
        <f t="shared" si="295"/>
        <v>1651681.1262574245</v>
      </c>
      <c r="M321" s="94"/>
      <c r="N321" s="130">
        <f t="shared" si="296"/>
        <v>543974.52037684317</v>
      </c>
      <c r="O321" s="94"/>
      <c r="P321" s="130">
        <f t="shared" si="297"/>
        <v>60812.245910052749</v>
      </c>
      <c r="Q321" s="94"/>
      <c r="R321" s="130">
        <f t="shared" si="298"/>
        <v>131374.97850610552</v>
      </c>
      <c r="S321" s="94"/>
      <c r="T321" s="130">
        <f t="shared" si="299"/>
        <v>40541.497273368506</v>
      </c>
      <c r="U321" s="94"/>
      <c r="V321" s="130">
        <f t="shared" si="300"/>
        <v>72102.283125421192</v>
      </c>
      <c r="W321" s="94"/>
      <c r="X321" s="130">
        <f t="shared" si="301"/>
        <v>65430.897498158018</v>
      </c>
      <c r="Y321" s="94"/>
      <c r="Z321" s="94">
        <f t="shared" si="280"/>
        <v>0</v>
      </c>
      <c r="AC321" s="97" t="s">
        <v>472</v>
      </c>
      <c r="AE321" s="112">
        <f t="shared" si="290"/>
        <v>15</v>
      </c>
      <c r="AG321" s="94">
        <f t="shared" si="291"/>
        <v>2565917.5489473734</v>
      </c>
      <c r="AH321" s="94"/>
      <c r="AI321" s="130">
        <f t="shared" si="302"/>
        <v>687665.90311789606</v>
      </c>
      <c r="AJ321" s="130"/>
      <c r="AK321" s="130">
        <f t="shared" si="303"/>
        <v>410546.80783157976</v>
      </c>
      <c r="AL321" s="130"/>
      <c r="AM321" s="130">
        <f t="shared" si="304"/>
        <v>216820.03288605306</v>
      </c>
      <c r="AN321" s="130"/>
      <c r="AO321" s="130">
        <f t="shared" si="305"/>
        <v>439798.26788957982</v>
      </c>
      <c r="AP321" s="130"/>
      <c r="AQ321" s="130">
        <f t="shared" si="306"/>
        <v>83392.320340789636</v>
      </c>
      <c r="AR321" s="130"/>
      <c r="AS321" s="130">
        <f t="shared" si="307"/>
        <v>417731.37696863239</v>
      </c>
      <c r="AT321" s="130"/>
      <c r="AU321" s="130">
        <f t="shared" si="308"/>
        <v>178074.67789694772</v>
      </c>
      <c r="AV321" s="130"/>
      <c r="AW321" s="130">
        <f t="shared" si="309"/>
        <v>66457.26451773697</v>
      </c>
      <c r="AX321" s="130"/>
      <c r="AY321" s="130">
        <f t="shared" si="310"/>
        <v>65430.897498158018</v>
      </c>
      <c r="BA321" s="82">
        <f t="shared" si="240"/>
        <v>0</v>
      </c>
      <c r="BB321" s="67"/>
      <c r="BC321" s="67"/>
      <c r="BD321" s="67"/>
    </row>
    <row r="322" spans="1:56" s="340" customFormat="1" x14ac:dyDescent="0.2">
      <c r="A322" s="511"/>
      <c r="B322" s="512"/>
      <c r="C322" s="516"/>
      <c r="D322" s="273">
        <v>347</v>
      </c>
      <c r="E322" s="94"/>
      <c r="F322" s="97" t="s">
        <v>473</v>
      </c>
      <c r="G322" s="56"/>
      <c r="H322" s="64">
        <v>15</v>
      </c>
      <c r="J322" s="515">
        <v>4150748.7801356153</v>
      </c>
      <c r="K322" s="265"/>
      <c r="L322" s="267">
        <f t="shared" si="295"/>
        <v>2671836.9897732958</v>
      </c>
      <c r="M322" s="265"/>
      <c r="N322" s="267">
        <f t="shared" si="296"/>
        <v>879958.74138875038</v>
      </c>
      <c r="O322" s="265"/>
      <c r="P322" s="267">
        <f t="shared" si="297"/>
        <v>98372.746089214081</v>
      </c>
      <c r="Q322" s="265"/>
      <c r="R322" s="267">
        <f t="shared" si="298"/>
        <v>212518.33754294351</v>
      </c>
      <c r="S322" s="265"/>
      <c r="T322" s="267">
        <f t="shared" si="299"/>
        <v>65581.830726142725</v>
      </c>
      <c r="U322" s="265"/>
      <c r="V322" s="267">
        <f t="shared" si="300"/>
        <v>116636.04072181079</v>
      </c>
      <c r="W322" s="265"/>
      <c r="X322" s="267">
        <f t="shared" si="301"/>
        <v>105844.09389345818</v>
      </c>
      <c r="Y322" s="265"/>
      <c r="Z322" s="94">
        <f t="shared" si="280"/>
        <v>0</v>
      </c>
      <c r="AC322" s="97" t="s">
        <v>473</v>
      </c>
      <c r="AE322" s="112">
        <f t="shared" ref="AE322:AE324" si="311">+H322</f>
        <v>15</v>
      </c>
      <c r="AG322" s="94">
        <f t="shared" ref="AG322:AG324" si="312">+J322</f>
        <v>4150748.7801356153</v>
      </c>
      <c r="AH322" s="94"/>
      <c r="AI322" s="130">
        <f t="shared" si="302"/>
        <v>1112400.6730763449</v>
      </c>
      <c r="AJ322" s="130"/>
      <c r="AK322" s="130">
        <f t="shared" si="303"/>
        <v>664119.80482169846</v>
      </c>
      <c r="AL322" s="130"/>
      <c r="AM322" s="130">
        <f t="shared" si="304"/>
        <v>350738.27192145953</v>
      </c>
      <c r="AN322" s="130"/>
      <c r="AO322" s="130">
        <f t="shared" si="305"/>
        <v>711438.34091524442</v>
      </c>
      <c r="AP322" s="130"/>
      <c r="AQ322" s="130">
        <f t="shared" si="306"/>
        <v>134899.33535440749</v>
      </c>
      <c r="AR322" s="130"/>
      <c r="AS322" s="130">
        <f t="shared" si="307"/>
        <v>675741.90140607813</v>
      </c>
      <c r="AT322" s="130"/>
      <c r="AU322" s="130">
        <f t="shared" si="308"/>
        <v>288061.96534141171</v>
      </c>
      <c r="AV322" s="130"/>
      <c r="AW322" s="130">
        <f t="shared" si="309"/>
        <v>107504.39340551243</v>
      </c>
      <c r="AX322" s="130"/>
      <c r="AY322" s="130">
        <f t="shared" si="310"/>
        <v>105844.09389345818</v>
      </c>
      <c r="BA322" s="82">
        <f t="shared" si="240"/>
        <v>0</v>
      </c>
      <c r="BB322" s="67"/>
      <c r="BC322" s="67"/>
      <c r="BD322" s="67"/>
    </row>
    <row r="323" spans="1:56" s="340" customFormat="1" x14ac:dyDescent="0.2">
      <c r="A323" s="511"/>
      <c r="B323" s="512"/>
      <c r="C323" s="516"/>
      <c r="D323" s="273">
        <v>348</v>
      </c>
      <c r="E323" s="94"/>
      <c r="F323" s="97" t="s">
        <v>474</v>
      </c>
      <c r="G323" s="56"/>
      <c r="H323" s="64">
        <v>15</v>
      </c>
      <c r="J323" s="515">
        <v>65932.108542557049</v>
      </c>
      <c r="K323" s="265"/>
      <c r="L323" s="267">
        <f t="shared" si="295"/>
        <v>42440.498268843978</v>
      </c>
      <c r="M323" s="265"/>
      <c r="N323" s="267">
        <f t="shared" si="296"/>
        <v>13977.607011022094</v>
      </c>
      <c r="O323" s="265"/>
      <c r="P323" s="267">
        <f t="shared" si="297"/>
        <v>1562.590972458602</v>
      </c>
      <c r="Q323" s="265"/>
      <c r="R323" s="267">
        <f t="shared" si="298"/>
        <v>3375.7239573789211</v>
      </c>
      <c r="S323" s="265"/>
      <c r="T323" s="267">
        <f t="shared" si="299"/>
        <v>1041.7273149724015</v>
      </c>
      <c r="U323" s="265"/>
      <c r="V323" s="267">
        <f t="shared" si="300"/>
        <v>1852.6922500458531</v>
      </c>
      <c r="W323" s="265"/>
      <c r="X323" s="267">
        <f t="shared" si="301"/>
        <v>1681.2687678352047</v>
      </c>
      <c r="Y323" s="265"/>
      <c r="Z323" s="94">
        <f t="shared" si="280"/>
        <v>0</v>
      </c>
      <c r="AC323" s="97" t="s">
        <v>474</v>
      </c>
      <c r="AE323" s="112">
        <f t="shared" si="311"/>
        <v>15</v>
      </c>
      <c r="AG323" s="265">
        <f t="shared" si="312"/>
        <v>65932.108542557049</v>
      </c>
      <c r="AH323" s="265"/>
      <c r="AI323" s="267">
        <f t="shared" si="302"/>
        <v>17669.80508940529</v>
      </c>
      <c r="AJ323" s="265"/>
      <c r="AK323" s="267">
        <f t="shared" si="303"/>
        <v>10549.137366809127</v>
      </c>
      <c r="AL323" s="265"/>
      <c r="AM323" s="267">
        <f t="shared" si="304"/>
        <v>5571.2631718460707</v>
      </c>
      <c r="AN323" s="265"/>
      <c r="AO323" s="267">
        <f t="shared" si="305"/>
        <v>11300.763404194278</v>
      </c>
      <c r="AP323" s="265"/>
      <c r="AQ323" s="267">
        <f t="shared" si="306"/>
        <v>2142.7935276331041</v>
      </c>
      <c r="AR323" s="265"/>
      <c r="AS323" s="267">
        <f t="shared" si="307"/>
        <v>10733.747270728287</v>
      </c>
      <c r="AT323" s="265"/>
      <c r="AU323" s="267">
        <f t="shared" si="308"/>
        <v>4575.6883328534595</v>
      </c>
      <c r="AV323" s="265"/>
      <c r="AW323" s="267">
        <f t="shared" si="309"/>
        <v>1707.6416112522274</v>
      </c>
      <c r="AX323" s="265"/>
      <c r="AY323" s="267">
        <f t="shared" si="310"/>
        <v>1681.2687678352047</v>
      </c>
      <c r="BA323" s="82">
        <f t="shared" si="240"/>
        <v>0</v>
      </c>
      <c r="BB323" s="67"/>
      <c r="BC323" s="67"/>
      <c r="BD323" s="67"/>
    </row>
    <row r="324" spans="1:56" s="340" customFormat="1" x14ac:dyDescent="0.2">
      <c r="A324" s="511"/>
      <c r="B324" s="512"/>
      <c r="C324" s="516"/>
      <c r="D324" s="273"/>
      <c r="E324" s="94"/>
      <c r="F324" s="97" t="s">
        <v>639</v>
      </c>
      <c r="G324" s="56"/>
      <c r="H324" s="64">
        <v>17</v>
      </c>
      <c r="J324" s="553">
        <v>886218.35540101479</v>
      </c>
      <c r="K324" s="265"/>
      <c r="L324" s="506">
        <f t="shared" si="295"/>
        <v>448337.86599737342</v>
      </c>
      <c r="M324" s="265"/>
      <c r="N324" s="506">
        <f t="shared" si="296"/>
        <v>244419.02241959987</v>
      </c>
      <c r="O324" s="265"/>
      <c r="P324" s="506">
        <f t="shared" si="297"/>
        <v>25788.954142169532</v>
      </c>
      <c r="Q324" s="265"/>
      <c r="R324" s="506">
        <f t="shared" si="298"/>
        <v>64428.074437653777</v>
      </c>
      <c r="S324" s="265"/>
      <c r="T324" s="506">
        <f t="shared" si="299"/>
        <v>17192.636094779689</v>
      </c>
      <c r="U324" s="265"/>
      <c r="V324" s="506">
        <f t="shared" si="300"/>
        <v>28979.340221613184</v>
      </c>
      <c r="W324" s="265"/>
      <c r="X324" s="506">
        <f t="shared" si="301"/>
        <v>57072.462087825348</v>
      </c>
      <c r="Y324" s="94"/>
      <c r="Z324" s="94">
        <f t="shared" si="280"/>
        <v>0</v>
      </c>
      <c r="AC324" s="97" t="s">
        <v>639</v>
      </c>
      <c r="AE324" s="112">
        <f t="shared" si="311"/>
        <v>17</v>
      </c>
      <c r="AG324" s="545">
        <f t="shared" si="312"/>
        <v>886218.35540101479</v>
      </c>
      <c r="AH324" s="265"/>
      <c r="AI324" s="545">
        <f t="shared" ref="AI324" si="313">+L324</f>
        <v>448337.86599737342</v>
      </c>
      <c r="AJ324" s="265"/>
      <c r="AK324" s="545">
        <f t="shared" ref="AK324" si="314">+N324</f>
        <v>244419.02241959987</v>
      </c>
      <c r="AL324" s="265"/>
      <c r="AM324" s="545">
        <f t="shared" ref="AM324" si="315">+P324</f>
        <v>25788.954142169532</v>
      </c>
      <c r="AN324" s="265"/>
      <c r="AO324" s="545">
        <f t="shared" ref="AO324" si="316">+R324</f>
        <v>64428.074437653777</v>
      </c>
      <c r="AP324" s="265"/>
      <c r="AQ324" s="545">
        <f t="shared" ref="AQ324" si="317">+T324</f>
        <v>17192.636094779689</v>
      </c>
      <c r="AR324" s="265"/>
      <c r="AS324" s="545">
        <f t="shared" ref="AS324" si="318">+V324</f>
        <v>28979.340221613184</v>
      </c>
      <c r="AT324" s="265"/>
      <c r="AU324" s="545">
        <f t="shared" ref="AU324" si="319">+X324</f>
        <v>57072.462087825348</v>
      </c>
      <c r="AV324" s="265"/>
      <c r="AW324" s="545">
        <f t="shared" ref="AW324" si="320">+Z324</f>
        <v>0</v>
      </c>
      <c r="AX324" s="265"/>
      <c r="AY324" s="545">
        <f t="shared" ref="AY324" si="321">+AB324</f>
        <v>0</v>
      </c>
      <c r="BA324" s="82">
        <f t="shared" si="240"/>
        <v>0</v>
      </c>
      <c r="BB324" s="67"/>
      <c r="BC324" s="67"/>
      <c r="BD324" s="67"/>
    </row>
    <row r="325" spans="1:56" s="340" customFormat="1" x14ac:dyDescent="0.2">
      <c r="A325" s="511"/>
      <c r="B325" s="512"/>
      <c r="C325" s="516"/>
      <c r="D325" s="273"/>
      <c r="E325" s="94"/>
      <c r="F325" s="97"/>
      <c r="G325" s="56"/>
      <c r="H325" s="64"/>
      <c r="J325" s="515"/>
      <c r="K325" s="265"/>
      <c r="L325" s="267"/>
      <c r="M325" s="265"/>
      <c r="N325" s="267"/>
      <c r="O325" s="265"/>
      <c r="P325" s="267"/>
      <c r="Q325" s="265"/>
      <c r="R325" s="267"/>
      <c r="S325" s="265"/>
      <c r="T325" s="267"/>
      <c r="U325" s="265"/>
      <c r="V325" s="267"/>
      <c r="W325" s="265"/>
      <c r="X325" s="267"/>
      <c r="Z325" s="94">
        <f t="shared" si="280"/>
        <v>0</v>
      </c>
      <c r="AC325" s="97"/>
      <c r="AE325" s="112"/>
      <c r="AG325" s="265"/>
      <c r="AH325" s="265"/>
      <c r="AI325" s="267"/>
      <c r="AJ325" s="265"/>
      <c r="AK325" s="267"/>
      <c r="AL325" s="265"/>
      <c r="AM325" s="267"/>
      <c r="AN325" s="265"/>
      <c r="AO325" s="267"/>
      <c r="AP325" s="265"/>
      <c r="AQ325" s="267"/>
      <c r="AR325" s="265"/>
      <c r="AS325" s="267"/>
      <c r="AT325" s="265"/>
      <c r="AU325" s="267"/>
      <c r="AV325" s="265"/>
      <c r="AW325" s="267"/>
      <c r="AX325" s="265"/>
      <c r="AY325" s="267"/>
      <c r="BA325" s="82">
        <f t="shared" si="240"/>
        <v>0</v>
      </c>
      <c r="BB325" s="67"/>
      <c r="BC325" s="67"/>
      <c r="BD325" s="67"/>
    </row>
    <row r="326" spans="1:56" s="340" customFormat="1" x14ac:dyDescent="0.2">
      <c r="A326" s="511"/>
      <c r="B326" s="684"/>
      <c r="C326" s="516"/>
      <c r="D326" s="273"/>
      <c r="E326" s="94"/>
      <c r="F326" s="340" t="s">
        <v>383</v>
      </c>
      <c r="G326" s="56"/>
      <c r="H326" s="64"/>
      <c r="J326" s="550"/>
      <c r="K326" s="94"/>
      <c r="L326" s="550"/>
      <c r="M326" s="94"/>
      <c r="N326" s="550"/>
      <c r="O326" s="94"/>
      <c r="P326" s="550"/>
      <c r="Q326" s="94"/>
      <c r="R326" s="550"/>
      <c r="S326" s="94"/>
      <c r="T326" s="550"/>
      <c r="U326" s="94"/>
      <c r="V326" s="550"/>
      <c r="W326" s="94"/>
      <c r="X326" s="550"/>
      <c r="Z326" s="94">
        <f t="shared" si="280"/>
        <v>0</v>
      </c>
      <c r="AC326" s="340" t="s">
        <v>67</v>
      </c>
      <c r="AD326" s="56"/>
      <c r="AE326" s="64"/>
      <c r="AG326" s="550"/>
      <c r="AH326" s="265"/>
      <c r="AI326" s="267"/>
      <c r="AJ326" s="265"/>
      <c r="AK326" s="267"/>
      <c r="AL326" s="265"/>
      <c r="AM326" s="267"/>
      <c r="AN326" s="265"/>
      <c r="AO326" s="267"/>
      <c r="AP326" s="265"/>
      <c r="AQ326" s="267"/>
      <c r="AR326" s="265"/>
      <c r="AS326" s="267"/>
      <c r="AT326" s="265"/>
      <c r="AU326" s="267"/>
      <c r="AV326" s="265"/>
      <c r="AW326" s="267"/>
      <c r="AX326" s="265"/>
      <c r="AY326" s="267"/>
      <c r="BA326" s="82">
        <f t="shared" si="240"/>
        <v>0</v>
      </c>
      <c r="BB326" s="67"/>
      <c r="BC326" s="67"/>
      <c r="BD326" s="67"/>
    </row>
    <row r="327" spans="1:56" s="340" customFormat="1" x14ac:dyDescent="0.2">
      <c r="A327" s="511"/>
      <c r="B327" s="512"/>
      <c r="C327" s="516"/>
      <c r="D327" s="273"/>
      <c r="E327" s="94"/>
      <c r="F327" s="340" t="s">
        <v>384</v>
      </c>
      <c r="G327" s="56"/>
      <c r="H327" s="64"/>
      <c r="J327" s="550">
        <f>SUM(J274:J326)</f>
        <v>506046579.71319032</v>
      </c>
      <c r="K327" s="94"/>
      <c r="L327" s="550">
        <f>SUM(L274:L326)</f>
        <v>256989853.04994747</v>
      </c>
      <c r="M327" s="94"/>
      <c r="N327" s="550">
        <f>SUM(N274:N326)</f>
        <v>139728145.56701037</v>
      </c>
      <c r="O327" s="94"/>
      <c r="P327" s="550">
        <f>SUM(P274:P326)</f>
        <v>14614644.012228901</v>
      </c>
      <c r="Q327" s="94"/>
      <c r="R327" s="550">
        <f>SUM(R274:R326)</f>
        <v>36895500.274106592</v>
      </c>
      <c r="S327" s="94"/>
      <c r="T327" s="550">
        <f>SUM(T274:T326)</f>
        <v>9757422.5570495985</v>
      </c>
      <c r="U327" s="94"/>
      <c r="V327" s="550">
        <f>SUM(V274:V326)</f>
        <v>15799703.935488088</v>
      </c>
      <c r="W327" s="94"/>
      <c r="X327" s="550">
        <f>SUM(X274:X326)</f>
        <v>32261310.317359317</v>
      </c>
      <c r="Z327" s="94">
        <f t="shared" si="280"/>
        <v>0</v>
      </c>
      <c r="AC327" s="340" t="s">
        <v>68</v>
      </c>
      <c r="AD327" s="56"/>
      <c r="AE327" s="64"/>
      <c r="AG327" s="550">
        <f>SUM(AG274:AG326)</f>
        <v>506046579.71319032</v>
      </c>
      <c r="AH327" s="94"/>
      <c r="AI327" s="550">
        <f>SUM(AI274:AI326)</f>
        <v>207238496.3763817</v>
      </c>
      <c r="AJ327" s="94"/>
      <c r="AK327" s="550">
        <f>SUM(AK274:AK326)</f>
        <v>120771284.22105466</v>
      </c>
      <c r="AL327" s="94"/>
      <c r="AM327" s="550">
        <f>SUM(AM274:AM326)</f>
        <v>69791089.466184154</v>
      </c>
      <c r="AN327" s="94"/>
      <c r="AO327" s="550">
        <f>SUM(AO274:AO326)</f>
        <v>41065435.479656257</v>
      </c>
      <c r="AP327" s="94"/>
      <c r="AQ327" s="550">
        <f>SUM(AQ274:AQ326)</f>
        <v>9525909.7872483656</v>
      </c>
      <c r="AR327" s="94"/>
      <c r="AS327" s="550">
        <f>SUM(AS274:AS326)</f>
        <v>7462965.307233627</v>
      </c>
      <c r="AT327" s="94"/>
      <c r="AU327" s="550">
        <f>SUM(AU274:AU326)</f>
        <v>2680951.1242440427</v>
      </c>
      <c r="AV327" s="94"/>
      <c r="AW327" s="550">
        <f>SUM(AW274:AW326)</f>
        <v>15502557.153046681</v>
      </c>
      <c r="AX327" s="94"/>
      <c r="AY327" s="550">
        <f>SUM(AY274:AY326)</f>
        <v>32007890.79814091</v>
      </c>
      <c r="BA327" s="82">
        <f t="shared" si="240"/>
        <v>0</v>
      </c>
      <c r="BB327" s="67"/>
      <c r="BC327" s="67"/>
      <c r="BD327" s="67"/>
    </row>
    <row r="328" spans="1:56" s="340" customFormat="1" x14ac:dyDescent="0.2">
      <c r="A328" s="511"/>
      <c r="B328" s="512"/>
      <c r="C328" s="516"/>
      <c r="D328" s="273"/>
      <c r="E328" s="94"/>
      <c r="G328" s="56"/>
      <c r="H328" s="64"/>
      <c r="J328" s="266"/>
      <c r="K328" s="265"/>
      <c r="L328" s="267"/>
      <c r="M328" s="265"/>
      <c r="N328" s="267"/>
      <c r="O328" s="265"/>
      <c r="P328" s="267"/>
      <c r="Q328" s="265"/>
      <c r="R328" s="267"/>
      <c r="S328" s="265"/>
      <c r="T328" s="267"/>
      <c r="U328" s="265"/>
      <c r="V328" s="267"/>
      <c r="W328" s="265"/>
      <c r="X328" s="267"/>
      <c r="Z328" s="94">
        <f t="shared" si="280"/>
        <v>0</v>
      </c>
      <c r="AE328" s="112"/>
      <c r="AG328" s="265"/>
      <c r="AH328" s="265"/>
      <c r="AI328" s="267"/>
      <c r="AJ328" s="267"/>
      <c r="AK328" s="267"/>
      <c r="AL328" s="267"/>
      <c r="AM328" s="267"/>
      <c r="AN328" s="267"/>
      <c r="AO328" s="267"/>
      <c r="AP328" s="267"/>
      <c r="AQ328" s="267"/>
      <c r="AR328" s="267"/>
      <c r="AS328" s="267"/>
      <c r="AT328" s="267"/>
      <c r="AU328" s="267"/>
      <c r="AV328" s="267"/>
      <c r="AW328" s="267"/>
      <c r="AX328" s="267"/>
      <c r="AY328" s="267"/>
      <c r="BA328" s="82">
        <f t="shared" si="240"/>
        <v>0</v>
      </c>
      <c r="BB328" s="67"/>
      <c r="BC328" s="67"/>
      <c r="BD328" s="67"/>
    </row>
    <row r="329" spans="1:56" s="340" customFormat="1" x14ac:dyDescent="0.2">
      <c r="A329" s="511"/>
      <c r="B329" s="512"/>
      <c r="C329" s="516"/>
      <c r="D329" s="273"/>
      <c r="E329" s="94"/>
      <c r="F329" s="220" t="s">
        <v>69</v>
      </c>
      <c r="G329" s="56"/>
      <c r="H329" s="64"/>
      <c r="J329" s="266"/>
      <c r="K329" s="265"/>
      <c r="L329" s="267"/>
      <c r="M329" s="265"/>
      <c r="N329" s="267"/>
      <c r="O329" s="265"/>
      <c r="P329" s="267"/>
      <c r="Q329" s="265"/>
      <c r="R329" s="267"/>
      <c r="S329" s="265"/>
      <c r="T329" s="267"/>
      <c r="U329" s="265"/>
      <c r="V329" s="267"/>
      <c r="W329" s="265"/>
      <c r="X329" s="267"/>
      <c r="Z329" s="94">
        <f t="shared" si="280"/>
        <v>0</v>
      </c>
      <c r="AC329" s="220" t="s">
        <v>69</v>
      </c>
      <c r="AE329" s="112"/>
      <c r="AG329" s="265"/>
      <c r="AH329" s="265"/>
      <c r="AI329" s="267"/>
      <c r="AJ329" s="267"/>
      <c r="AK329" s="267"/>
      <c r="AL329" s="267"/>
      <c r="AM329" s="267"/>
      <c r="AN329" s="267"/>
      <c r="AO329" s="267"/>
      <c r="AP329" s="267"/>
      <c r="AQ329" s="267"/>
      <c r="AR329" s="267"/>
      <c r="AS329" s="267"/>
      <c r="AT329" s="267"/>
      <c r="AU329" s="267"/>
      <c r="AV329" s="267"/>
      <c r="AW329" s="267"/>
      <c r="AX329" s="267"/>
      <c r="AY329" s="267"/>
      <c r="BA329" s="82">
        <f t="shared" si="240"/>
        <v>0</v>
      </c>
      <c r="BB329" s="67"/>
      <c r="BC329" s="67"/>
      <c r="BD329" s="67"/>
    </row>
    <row r="330" spans="1:56" s="340" customFormat="1" x14ac:dyDescent="0.2">
      <c r="A330" s="511"/>
      <c r="B330" s="512"/>
      <c r="C330" s="516"/>
      <c r="D330" s="273"/>
      <c r="E330" s="94"/>
      <c r="F330" s="221" t="s">
        <v>70</v>
      </c>
      <c r="G330" s="56"/>
      <c r="H330" s="64">
        <v>17</v>
      </c>
      <c r="J330" s="550">
        <v>225195.25416666645</v>
      </c>
      <c r="K330" s="265"/>
      <c r="L330" s="130">
        <f t="shared" ref="L330:L345" si="322">(VLOOKUP($H330,Factors,L$378))*$J330</f>
        <v>113926.27908291656</v>
      </c>
      <c r="M330" s="94"/>
      <c r="N330" s="130">
        <f t="shared" ref="N330:N345" si="323">(VLOOKUP($H330,Factors,N$378))*$J330</f>
        <v>62108.851099166604</v>
      </c>
      <c r="O330" s="94"/>
      <c r="P330" s="130">
        <f t="shared" ref="P330:P345" si="324">(VLOOKUP($H330,Factors,P$378))*$J330</f>
        <v>6553.1818962499938</v>
      </c>
      <c r="Q330" s="94"/>
      <c r="R330" s="130">
        <f t="shared" ref="R330:R345" si="325">(VLOOKUP($H330,Factors,R$378))*$J330</f>
        <v>16371.694977916652</v>
      </c>
      <c r="S330" s="94"/>
      <c r="T330" s="130">
        <f t="shared" ref="T330:T345" si="326">(VLOOKUP($H330,Factors,T$378))*$J330</f>
        <v>4368.7879308333295</v>
      </c>
      <c r="U330" s="94"/>
      <c r="V330" s="130">
        <f t="shared" ref="V330:V345" si="327">(VLOOKUP($H330,Factors,V$378))*$J330</f>
        <v>7363.8848112499927</v>
      </c>
      <c r="W330" s="94"/>
      <c r="X330" s="130">
        <f t="shared" ref="X330:X345" si="328">(VLOOKUP($H330,Factors,X$378))*$J330</f>
        <v>14502.574368333318</v>
      </c>
      <c r="Y330" s="94"/>
      <c r="Z330" s="94">
        <f t="shared" si="280"/>
        <v>0</v>
      </c>
      <c r="AC330" s="221" t="s">
        <v>70</v>
      </c>
      <c r="AE330" s="112">
        <f t="shared" ref="AE330:AE345" si="329">+H330</f>
        <v>17</v>
      </c>
      <c r="AG330" s="94">
        <f t="shared" ref="AG330:AG345" si="330">+J330</f>
        <v>225195.25416666645</v>
      </c>
      <c r="AH330" s="94"/>
      <c r="AI330" s="130">
        <f t="shared" ref="AI330:AI345" si="331">(VLOOKUP($AE330,func,AI$378))*$AG330</f>
        <v>91857.144174583242</v>
      </c>
      <c r="AJ330" s="130"/>
      <c r="AK330" s="130">
        <f t="shared" ref="AK330:AK345" si="332">(VLOOKUP($AE330,func,AK$378))*$AG330</f>
        <v>52853.326152916612</v>
      </c>
      <c r="AL330" s="130"/>
      <c r="AM330" s="130">
        <f t="shared" ref="AM330:AM345" si="333">(VLOOKUP($AE330,func,AM$378))*$AG330</f>
        <v>32360.558023749967</v>
      </c>
      <c r="AN330" s="130"/>
      <c r="AO330" s="130">
        <f t="shared" ref="AO330:AO345" si="334">(VLOOKUP($AE330,func,AO$378))*$AG330</f>
        <v>17790.425079166649</v>
      </c>
      <c r="AP330" s="130"/>
      <c r="AQ330" s="130">
        <f t="shared" ref="AQ330:AQ345" si="335">(VLOOKUP($AE330,func,AQ$378))*$AG330</f>
        <v>4188.6317274999956</v>
      </c>
      <c r="AR330" s="130"/>
      <c r="AS330" s="130">
        <f t="shared" ref="AS330:AS345" si="336">(VLOOKUP($AE330,func,AS$378))*$AG330</f>
        <v>3310.3702362499967</v>
      </c>
      <c r="AT330" s="130"/>
      <c r="AU330" s="130">
        <f t="shared" ref="AU330:AU345" si="337">(VLOOKUP($AE330,func,AU$378))*$AG330</f>
        <v>1171.0153216666654</v>
      </c>
      <c r="AV330" s="130"/>
      <c r="AW330" s="130">
        <f t="shared" ref="AW330:AW345" si="338">(VLOOKUP($AE330,func,AW$378))*$AG330</f>
        <v>7251.2871841666592</v>
      </c>
      <c r="AX330" s="130"/>
      <c r="AY330" s="130">
        <f t="shared" ref="AY330:AY345" si="339">(VLOOKUP($AE330,func,AY$378))*$AG330</f>
        <v>14412.496266666652</v>
      </c>
      <c r="BA330" s="82">
        <f t="shared" si="240"/>
        <v>0</v>
      </c>
      <c r="BB330" s="67"/>
      <c r="BC330" s="67"/>
      <c r="BD330" s="67"/>
    </row>
    <row r="331" spans="1:56" s="340" customFormat="1" x14ac:dyDescent="0.2">
      <c r="A331" s="511"/>
      <c r="B331" s="516"/>
      <c r="C331" s="516"/>
      <c r="D331" s="273"/>
      <c r="E331" s="94"/>
      <c r="F331" s="221" t="s">
        <v>71</v>
      </c>
      <c r="G331" s="56"/>
      <c r="H331" s="64">
        <v>2</v>
      </c>
      <c r="J331" s="550">
        <v>2652555.5321239703</v>
      </c>
      <c r="K331" s="265"/>
      <c r="L331" s="130">
        <f t="shared" si="322"/>
        <v>1329460.8327005338</v>
      </c>
      <c r="M331" s="94"/>
      <c r="N331" s="130">
        <f t="shared" si="323"/>
        <v>856244.92576961755</v>
      </c>
      <c r="O331" s="94"/>
      <c r="P331" s="130">
        <f t="shared" si="324"/>
        <v>125996.38777588859</v>
      </c>
      <c r="Q331" s="94"/>
      <c r="R331" s="130">
        <f t="shared" si="325"/>
        <v>244300.36450861767</v>
      </c>
      <c r="S331" s="94"/>
      <c r="T331" s="130">
        <f t="shared" si="326"/>
        <v>87003.821453666213</v>
      </c>
      <c r="U331" s="94"/>
      <c r="V331" s="130">
        <f t="shared" si="327"/>
        <v>4774.5999578231467</v>
      </c>
      <c r="W331" s="94"/>
      <c r="X331" s="130">
        <f t="shared" si="328"/>
        <v>4774.5999578231467</v>
      </c>
      <c r="Y331" s="94"/>
      <c r="Z331" s="94">
        <f t="shared" si="280"/>
        <v>0</v>
      </c>
      <c r="AC331" s="221" t="s">
        <v>71</v>
      </c>
      <c r="AE331" s="112">
        <f t="shared" si="329"/>
        <v>2</v>
      </c>
      <c r="AG331" s="94">
        <f t="shared" si="330"/>
        <v>2652555.5321239703</v>
      </c>
      <c r="AH331" s="94"/>
      <c r="AI331" s="130">
        <f t="shared" si="331"/>
        <v>1506121.0311399903</v>
      </c>
      <c r="AJ331" s="130"/>
      <c r="AK331" s="130">
        <f t="shared" si="332"/>
        <v>1136885.3010683337</v>
      </c>
      <c r="AL331" s="130"/>
      <c r="AM331" s="130">
        <f t="shared" si="333"/>
        <v>0</v>
      </c>
      <c r="AN331" s="130"/>
      <c r="AO331" s="130">
        <f t="shared" si="334"/>
        <v>0</v>
      </c>
      <c r="AP331" s="130"/>
      <c r="AQ331" s="130">
        <f t="shared" si="335"/>
        <v>0</v>
      </c>
      <c r="AR331" s="130"/>
      <c r="AS331" s="130">
        <f t="shared" si="336"/>
        <v>0</v>
      </c>
      <c r="AT331" s="130"/>
      <c r="AU331" s="130">
        <f t="shared" si="337"/>
        <v>0</v>
      </c>
      <c r="AV331" s="130"/>
      <c r="AW331" s="130">
        <f t="shared" si="338"/>
        <v>4774.5999578231467</v>
      </c>
      <c r="AX331" s="130"/>
      <c r="AY331" s="130">
        <f t="shared" si="339"/>
        <v>4774.5999578231467</v>
      </c>
      <c r="BA331" s="82">
        <f t="shared" ref="BA331:BA339" si="340">SUM(AI331:AY331)-AG331</f>
        <v>0</v>
      </c>
      <c r="BB331" s="67"/>
      <c r="BC331" s="67"/>
      <c r="BD331" s="67"/>
    </row>
    <row r="332" spans="1:56" s="340" customFormat="1" x14ac:dyDescent="0.2">
      <c r="A332" s="511"/>
      <c r="B332" s="516"/>
      <c r="C332" s="516"/>
      <c r="D332" s="273"/>
      <c r="E332" s="94"/>
      <c r="F332" s="221" t="s">
        <v>642</v>
      </c>
      <c r="G332" s="56"/>
      <c r="H332" s="64">
        <v>3</v>
      </c>
      <c r="J332" s="550">
        <v>2072462.9699857612</v>
      </c>
      <c r="K332" s="265"/>
      <c r="L332" s="130">
        <f t="shared" si="322"/>
        <v>957892.384727419</v>
      </c>
      <c r="M332" s="94"/>
      <c r="N332" s="130">
        <f t="shared" si="323"/>
        <v>616557.73357076396</v>
      </c>
      <c r="O332" s="94"/>
      <c r="P332" s="130">
        <f t="shared" si="324"/>
        <v>90773.878085376346</v>
      </c>
      <c r="Q332" s="94"/>
      <c r="R332" s="130">
        <f t="shared" si="325"/>
        <v>175744.85985479256</v>
      </c>
      <c r="S332" s="94"/>
      <c r="T332" s="130">
        <f t="shared" si="326"/>
        <v>62795.627990568566</v>
      </c>
      <c r="U332" s="94"/>
      <c r="V332" s="130">
        <f t="shared" si="327"/>
        <v>81447.794720440404</v>
      </c>
      <c r="W332" s="94"/>
      <c r="X332" s="130">
        <f t="shared" si="328"/>
        <v>87250.691036400545</v>
      </c>
      <c r="Y332" s="94"/>
      <c r="Z332" s="94">
        <f t="shared" si="280"/>
        <v>0</v>
      </c>
      <c r="AC332" s="221" t="s">
        <v>72</v>
      </c>
      <c r="AE332" s="112">
        <f t="shared" si="329"/>
        <v>3</v>
      </c>
      <c r="AG332" s="94">
        <f t="shared" si="330"/>
        <v>2072462.9699857612</v>
      </c>
      <c r="AH332" s="94"/>
      <c r="AI332" s="130">
        <f t="shared" si="331"/>
        <v>1091773.4925884991</v>
      </c>
      <c r="AJ332" s="130"/>
      <c r="AK332" s="130">
        <f t="shared" si="332"/>
        <v>818830.11944137432</v>
      </c>
      <c r="AL332" s="130"/>
      <c r="AM332" s="130">
        <f t="shared" si="333"/>
        <v>0</v>
      </c>
      <c r="AN332" s="130"/>
      <c r="AO332" s="130">
        <f t="shared" si="334"/>
        <v>0</v>
      </c>
      <c r="AP332" s="130"/>
      <c r="AQ332" s="130">
        <f t="shared" si="335"/>
        <v>0</v>
      </c>
      <c r="AR332" s="130"/>
      <c r="AS332" s="130">
        <f t="shared" si="336"/>
        <v>0</v>
      </c>
      <c r="AT332" s="130"/>
      <c r="AU332" s="130">
        <f t="shared" si="337"/>
        <v>0</v>
      </c>
      <c r="AV332" s="130"/>
      <c r="AW332" s="130">
        <f t="shared" si="338"/>
        <v>78131.853968463198</v>
      </c>
      <c r="AX332" s="130"/>
      <c r="AY332" s="130">
        <f t="shared" si="339"/>
        <v>83727.503987424745</v>
      </c>
      <c r="BA332" s="82">
        <f t="shared" si="340"/>
        <v>0</v>
      </c>
      <c r="BB332" s="67"/>
      <c r="BC332" s="67"/>
      <c r="BD332" s="67"/>
    </row>
    <row r="333" spans="1:56" s="340" customFormat="1" x14ac:dyDescent="0.2">
      <c r="A333" s="511"/>
      <c r="B333" s="516"/>
      <c r="C333" s="516"/>
      <c r="D333" s="273"/>
      <c r="E333" s="94"/>
      <c r="F333" s="221" t="s">
        <v>643</v>
      </c>
      <c r="G333" s="56"/>
      <c r="H333" s="64">
        <v>5</v>
      </c>
      <c r="J333" s="550">
        <v>56398.326923076944</v>
      </c>
      <c r="K333" s="265"/>
      <c r="L333" s="130">
        <f t="shared" si="322"/>
        <v>22643.92825961539</v>
      </c>
      <c r="M333" s="94"/>
      <c r="N333" s="130">
        <f t="shared" si="323"/>
        <v>14759.442155769235</v>
      </c>
      <c r="O333" s="94"/>
      <c r="P333" s="130">
        <f t="shared" si="324"/>
        <v>1866.7846211538472</v>
      </c>
      <c r="Q333" s="94"/>
      <c r="R333" s="130">
        <f t="shared" si="325"/>
        <v>3445.9377750000012</v>
      </c>
      <c r="S333" s="94"/>
      <c r="T333" s="130">
        <f t="shared" si="326"/>
        <v>1150.5258692307698</v>
      </c>
      <c r="U333" s="94"/>
      <c r="V333" s="130">
        <f t="shared" si="327"/>
        <v>6057.1803115384637</v>
      </c>
      <c r="W333" s="94"/>
      <c r="X333" s="130">
        <f t="shared" si="328"/>
        <v>6474.5279307692335</v>
      </c>
      <c r="Y333" s="94"/>
      <c r="Z333" s="94">
        <f t="shared" si="280"/>
        <v>0</v>
      </c>
      <c r="AC333" s="221" t="s">
        <v>73</v>
      </c>
      <c r="AE333" s="112">
        <f t="shared" si="329"/>
        <v>5</v>
      </c>
      <c r="AG333" s="94">
        <f t="shared" si="330"/>
        <v>56398.326923076944</v>
      </c>
      <c r="AH333" s="94"/>
      <c r="AI333" s="130">
        <f t="shared" si="331"/>
        <v>17477.841513461546</v>
      </c>
      <c r="AJ333" s="130"/>
      <c r="AK333" s="130">
        <f t="shared" si="332"/>
        <v>0</v>
      </c>
      <c r="AL333" s="130"/>
      <c r="AM333" s="130">
        <f t="shared" si="333"/>
        <v>26388.7771673077</v>
      </c>
      <c r="AN333" s="130"/>
      <c r="AO333" s="130">
        <f t="shared" si="334"/>
        <v>0</v>
      </c>
      <c r="AP333" s="130"/>
      <c r="AQ333" s="130">
        <f t="shared" si="335"/>
        <v>0</v>
      </c>
      <c r="AR333" s="130"/>
      <c r="AS333" s="130">
        <f t="shared" si="336"/>
        <v>0</v>
      </c>
      <c r="AT333" s="130"/>
      <c r="AU333" s="130">
        <f t="shared" si="337"/>
        <v>0</v>
      </c>
      <c r="AV333" s="130"/>
      <c r="AW333" s="130">
        <f t="shared" si="338"/>
        <v>6057.1803115384637</v>
      </c>
      <c r="AX333" s="130"/>
      <c r="AY333" s="130">
        <f t="shared" si="339"/>
        <v>6474.5279307692335</v>
      </c>
      <c r="BA333" s="82">
        <f t="shared" si="340"/>
        <v>0</v>
      </c>
      <c r="BB333" s="67"/>
      <c r="BC333" s="67"/>
      <c r="BD333" s="67"/>
    </row>
    <row r="334" spans="1:56" s="340" customFormat="1" x14ac:dyDescent="0.2">
      <c r="A334" s="511"/>
      <c r="B334" s="512"/>
      <c r="C334" s="516"/>
      <c r="D334" s="273"/>
      <c r="E334" s="94"/>
      <c r="F334" s="221" t="s">
        <v>644</v>
      </c>
      <c r="G334" s="56"/>
      <c r="H334" s="64">
        <v>5</v>
      </c>
      <c r="J334" s="550">
        <v>37598.884615384617</v>
      </c>
      <c r="K334" s="265"/>
      <c r="L334" s="130">
        <f t="shared" si="322"/>
        <v>15095.952173076923</v>
      </c>
      <c r="M334" s="94"/>
      <c r="N334" s="130">
        <f t="shared" si="323"/>
        <v>9839.628103846153</v>
      </c>
      <c r="O334" s="94"/>
      <c r="P334" s="130">
        <f t="shared" si="324"/>
        <v>1244.523080769231</v>
      </c>
      <c r="Q334" s="94"/>
      <c r="R334" s="130">
        <f t="shared" si="325"/>
        <v>2297.2918500000001</v>
      </c>
      <c r="S334" s="94"/>
      <c r="T334" s="130">
        <f t="shared" si="326"/>
        <v>767.01724615384626</v>
      </c>
      <c r="U334" s="94"/>
      <c r="V334" s="130">
        <f t="shared" si="327"/>
        <v>4038.1202076923078</v>
      </c>
      <c r="W334" s="94"/>
      <c r="X334" s="130">
        <f t="shared" si="328"/>
        <v>4316.3519538461542</v>
      </c>
      <c r="Y334" s="94"/>
      <c r="Z334" s="94">
        <f t="shared" si="280"/>
        <v>0</v>
      </c>
      <c r="AC334" s="221" t="s">
        <v>644</v>
      </c>
      <c r="AE334" s="112">
        <f t="shared" si="329"/>
        <v>5</v>
      </c>
      <c r="AG334" s="94">
        <f t="shared" ref="AG334" si="341">+J334</f>
        <v>37598.884615384617</v>
      </c>
      <c r="AH334" s="94"/>
      <c r="AI334" s="130">
        <f t="shared" si="331"/>
        <v>11651.894342307693</v>
      </c>
      <c r="AJ334" s="130"/>
      <c r="AK334" s="130">
        <f t="shared" si="332"/>
        <v>0</v>
      </c>
      <c r="AL334" s="130"/>
      <c r="AM334" s="130">
        <f t="shared" si="333"/>
        <v>17592.518111538462</v>
      </c>
      <c r="AN334" s="130"/>
      <c r="AO334" s="130">
        <f t="shared" si="334"/>
        <v>0</v>
      </c>
      <c r="AP334" s="130"/>
      <c r="AQ334" s="130">
        <f t="shared" si="335"/>
        <v>0</v>
      </c>
      <c r="AR334" s="130"/>
      <c r="AS334" s="130">
        <f t="shared" si="336"/>
        <v>0</v>
      </c>
      <c r="AT334" s="130"/>
      <c r="AU334" s="130">
        <f t="shared" si="337"/>
        <v>0</v>
      </c>
      <c r="AV334" s="130"/>
      <c r="AW334" s="130">
        <f t="shared" si="338"/>
        <v>4038.1202076923078</v>
      </c>
      <c r="AX334" s="130"/>
      <c r="AY334" s="130">
        <f t="shared" si="339"/>
        <v>4316.3519538461542</v>
      </c>
      <c r="BA334" s="82">
        <f t="shared" ref="BA334" si="342">SUM(AI334:AY334)-AG334</f>
        <v>0</v>
      </c>
      <c r="BB334" s="67"/>
      <c r="BC334" s="67"/>
      <c r="BD334" s="67"/>
    </row>
    <row r="335" spans="1:56" s="340" customFormat="1" x14ac:dyDescent="0.2">
      <c r="A335" s="511"/>
      <c r="B335" s="512"/>
      <c r="C335" s="516"/>
      <c r="D335" s="273"/>
      <c r="E335" s="94"/>
      <c r="F335" s="221" t="s">
        <v>553</v>
      </c>
      <c r="G335" s="56"/>
      <c r="H335" s="64">
        <v>6</v>
      </c>
      <c r="J335" s="550">
        <v>608277.35768981953</v>
      </c>
      <c r="K335" s="265"/>
      <c r="L335" s="130">
        <f t="shared" si="322"/>
        <v>294345.4133861037</v>
      </c>
      <c r="M335" s="94"/>
      <c r="N335" s="130">
        <f t="shared" si="323"/>
        <v>190208.32974960655</v>
      </c>
      <c r="O335" s="94"/>
      <c r="P335" s="130">
        <f t="shared" si="324"/>
        <v>21046.396576067757</v>
      </c>
      <c r="Q335" s="94"/>
      <c r="R335" s="130">
        <f t="shared" si="325"/>
        <v>51703.575403634655</v>
      </c>
      <c r="S335" s="94"/>
      <c r="T335" s="130">
        <f t="shared" si="326"/>
        <v>14233.690169941778</v>
      </c>
      <c r="U335" s="94"/>
      <c r="V335" s="130">
        <f t="shared" si="327"/>
        <v>17761.698844542727</v>
      </c>
      <c r="W335" s="94"/>
      <c r="X335" s="130">
        <f t="shared" si="328"/>
        <v>18978.25355992237</v>
      </c>
      <c r="Y335" s="94"/>
      <c r="Z335" s="94">
        <f t="shared" si="280"/>
        <v>0</v>
      </c>
      <c r="AC335" s="221" t="s">
        <v>553</v>
      </c>
      <c r="AE335" s="112">
        <f t="shared" si="329"/>
        <v>6</v>
      </c>
      <c r="AG335" s="94">
        <f t="shared" si="330"/>
        <v>608277.35768981953</v>
      </c>
      <c r="AH335" s="94"/>
      <c r="AI335" s="130">
        <f t="shared" si="331"/>
        <v>301791.31219049043</v>
      </c>
      <c r="AJ335" s="130"/>
      <c r="AK335" s="130">
        <f t="shared" si="332"/>
        <v>185707.07730270192</v>
      </c>
      <c r="AL335" s="130"/>
      <c r="AM335" s="130">
        <f t="shared" si="333"/>
        <v>84083.785005688056</v>
      </c>
      <c r="AN335" s="130"/>
      <c r="AO335" s="130">
        <f t="shared" si="334"/>
        <v>0</v>
      </c>
      <c r="AP335" s="130"/>
      <c r="AQ335" s="130">
        <f t="shared" si="335"/>
        <v>0</v>
      </c>
      <c r="AR335" s="130"/>
      <c r="AS335" s="130">
        <f t="shared" si="336"/>
        <v>0</v>
      </c>
      <c r="AT335" s="130"/>
      <c r="AU335" s="130">
        <f t="shared" si="337"/>
        <v>0</v>
      </c>
      <c r="AV335" s="130"/>
      <c r="AW335" s="130">
        <f t="shared" si="338"/>
        <v>17737.659723366829</v>
      </c>
      <c r="AX335" s="130"/>
      <c r="AY335" s="130">
        <f t="shared" si="339"/>
        <v>18957.5234675723</v>
      </c>
      <c r="BA335" s="82">
        <f t="shared" si="340"/>
        <v>0</v>
      </c>
      <c r="BB335" s="67"/>
      <c r="BC335" s="67"/>
      <c r="BD335" s="67"/>
    </row>
    <row r="336" spans="1:56" s="340" customFormat="1" x14ac:dyDescent="0.2">
      <c r="A336" s="511"/>
      <c r="B336" s="512"/>
      <c r="C336" s="516"/>
      <c r="D336" s="273"/>
      <c r="E336" s="94"/>
      <c r="F336" s="221" t="s">
        <v>74</v>
      </c>
      <c r="G336" s="56"/>
      <c r="H336" s="64">
        <v>9</v>
      </c>
      <c r="J336" s="550">
        <v>271715.79572307691</v>
      </c>
      <c r="K336" s="265"/>
      <c r="L336" s="130">
        <f t="shared" si="322"/>
        <v>225578.45360929848</v>
      </c>
      <c r="M336" s="94"/>
      <c r="N336" s="130">
        <f t="shared" si="323"/>
        <v>34670.935534264609</v>
      </c>
      <c r="O336" s="94"/>
      <c r="P336" s="130">
        <f t="shared" si="324"/>
        <v>1059.69160332</v>
      </c>
      <c r="Q336" s="94"/>
      <c r="R336" s="130">
        <f t="shared" si="325"/>
        <v>6521.1790973538464</v>
      </c>
      <c r="S336" s="94"/>
      <c r="T336" s="130">
        <f t="shared" si="326"/>
        <v>489.08843230153843</v>
      </c>
      <c r="U336" s="94"/>
      <c r="V336" s="130">
        <f t="shared" si="327"/>
        <v>3396.4474465384615</v>
      </c>
      <c r="W336" s="94"/>
      <c r="X336" s="130">
        <f t="shared" si="328"/>
        <v>0</v>
      </c>
      <c r="Y336" s="94"/>
      <c r="Z336" s="94">
        <f t="shared" si="280"/>
        <v>0</v>
      </c>
      <c r="AC336" s="221" t="s">
        <v>74</v>
      </c>
      <c r="AE336" s="112">
        <f t="shared" si="329"/>
        <v>9</v>
      </c>
      <c r="AG336" s="94">
        <f t="shared" si="330"/>
        <v>271715.79572307691</v>
      </c>
      <c r="AH336" s="94"/>
      <c r="AI336" s="130">
        <f t="shared" si="331"/>
        <v>0</v>
      </c>
      <c r="AJ336" s="130"/>
      <c r="AK336" s="130">
        <f t="shared" si="332"/>
        <v>0</v>
      </c>
      <c r="AL336" s="130"/>
      <c r="AM336" s="130">
        <f t="shared" si="333"/>
        <v>0</v>
      </c>
      <c r="AN336" s="130"/>
      <c r="AO336" s="130">
        <f t="shared" si="334"/>
        <v>268319.34827653848</v>
      </c>
      <c r="AP336" s="130"/>
      <c r="AQ336" s="130">
        <f t="shared" si="335"/>
        <v>0</v>
      </c>
      <c r="AR336" s="130"/>
      <c r="AS336" s="130">
        <f t="shared" si="336"/>
        <v>0</v>
      </c>
      <c r="AT336" s="130"/>
      <c r="AU336" s="130">
        <f t="shared" si="337"/>
        <v>0</v>
      </c>
      <c r="AV336" s="130"/>
      <c r="AW336" s="130">
        <f t="shared" si="338"/>
        <v>3396.4474465384615</v>
      </c>
      <c r="AX336" s="130"/>
      <c r="AY336" s="130">
        <f t="shared" si="339"/>
        <v>0</v>
      </c>
      <c r="BA336" s="82">
        <f t="shared" si="340"/>
        <v>0</v>
      </c>
      <c r="BB336" s="67"/>
      <c r="BC336" s="67"/>
      <c r="BD336" s="67"/>
    </row>
    <row r="337" spans="1:56" s="340" customFormat="1" x14ac:dyDescent="0.2">
      <c r="A337" s="511"/>
      <c r="B337" s="512"/>
      <c r="C337" s="516"/>
      <c r="D337" s="273"/>
      <c r="E337" s="94"/>
      <c r="F337" s="221" t="s">
        <v>75</v>
      </c>
      <c r="G337" s="56"/>
      <c r="H337" s="64">
        <v>10</v>
      </c>
      <c r="J337" s="550">
        <v>230844.83100000009</v>
      </c>
      <c r="K337" s="265"/>
      <c r="L337" s="130">
        <f t="shared" si="322"/>
        <v>190285.39419330008</v>
      </c>
      <c r="M337" s="94"/>
      <c r="N337" s="130">
        <f t="shared" si="323"/>
        <v>25323.67796070001</v>
      </c>
      <c r="O337" s="94"/>
      <c r="P337" s="130">
        <f t="shared" si="324"/>
        <v>253.92931410000011</v>
      </c>
      <c r="Q337" s="94"/>
      <c r="R337" s="130">
        <f t="shared" si="325"/>
        <v>3208.7431509000012</v>
      </c>
      <c r="S337" s="94"/>
      <c r="T337" s="130">
        <f t="shared" si="326"/>
        <v>92.337932400000042</v>
      </c>
      <c r="U337" s="94"/>
      <c r="V337" s="130">
        <f t="shared" si="327"/>
        <v>11680.748448600005</v>
      </c>
      <c r="W337" s="94"/>
      <c r="X337" s="130">
        <f t="shared" si="328"/>
        <v>0</v>
      </c>
      <c r="Y337" s="94"/>
      <c r="Z337" s="94">
        <f t="shared" ref="Z337:Z349" si="343">SUM(L337:X337)-J337</f>
        <v>0</v>
      </c>
      <c r="AC337" s="221" t="s">
        <v>75</v>
      </c>
      <c r="AE337" s="112">
        <f t="shared" si="329"/>
        <v>10</v>
      </c>
      <c r="AG337" s="94">
        <f t="shared" si="330"/>
        <v>230844.83100000009</v>
      </c>
      <c r="AH337" s="94"/>
      <c r="AI337" s="130">
        <f t="shared" si="331"/>
        <v>0</v>
      </c>
      <c r="AJ337" s="130"/>
      <c r="AK337" s="130">
        <f t="shared" si="332"/>
        <v>0</v>
      </c>
      <c r="AL337" s="130"/>
      <c r="AM337" s="130">
        <f t="shared" si="333"/>
        <v>0</v>
      </c>
      <c r="AN337" s="130"/>
      <c r="AO337" s="130">
        <f t="shared" si="334"/>
        <v>0</v>
      </c>
      <c r="AP337" s="130"/>
      <c r="AQ337" s="130">
        <f t="shared" si="335"/>
        <v>219164.08255140009</v>
      </c>
      <c r="AR337" s="130"/>
      <c r="AS337" s="130">
        <f t="shared" si="336"/>
        <v>0</v>
      </c>
      <c r="AT337" s="130"/>
      <c r="AU337" s="130">
        <f t="shared" si="337"/>
        <v>0</v>
      </c>
      <c r="AV337" s="130"/>
      <c r="AW337" s="130">
        <f t="shared" si="338"/>
        <v>11680.748448600005</v>
      </c>
      <c r="AX337" s="130"/>
      <c r="AY337" s="130">
        <f t="shared" si="339"/>
        <v>0</v>
      </c>
      <c r="BA337" s="82">
        <f t="shared" si="340"/>
        <v>0</v>
      </c>
      <c r="BB337" s="67"/>
      <c r="BC337" s="67"/>
      <c r="BD337" s="67"/>
    </row>
    <row r="338" spans="1:56" s="340" customFormat="1" x14ac:dyDescent="0.2">
      <c r="A338" s="511"/>
      <c r="B338" s="512"/>
      <c r="C338" s="516"/>
      <c r="D338" s="273"/>
      <c r="E338" s="94"/>
      <c r="F338" s="221" t="s">
        <v>76</v>
      </c>
      <c r="G338" s="56"/>
      <c r="H338" s="64">
        <v>8</v>
      </c>
      <c r="J338" s="550">
        <v>162468.47658461539</v>
      </c>
      <c r="K338" s="265"/>
      <c r="L338" s="130">
        <f t="shared" si="322"/>
        <v>0</v>
      </c>
      <c r="M338" s="94"/>
      <c r="N338" s="130">
        <f t="shared" si="323"/>
        <v>0</v>
      </c>
      <c r="O338" s="94"/>
      <c r="P338" s="130">
        <f t="shared" si="324"/>
        <v>0</v>
      </c>
      <c r="Q338" s="94"/>
      <c r="R338" s="130">
        <f t="shared" si="325"/>
        <v>0</v>
      </c>
      <c r="S338" s="94"/>
      <c r="T338" s="130">
        <f t="shared" si="326"/>
        <v>0</v>
      </c>
      <c r="U338" s="94"/>
      <c r="V338" s="130">
        <f t="shared" si="327"/>
        <v>0</v>
      </c>
      <c r="W338" s="94"/>
      <c r="X338" s="130">
        <f t="shared" si="328"/>
        <v>162468.47658461539</v>
      </c>
      <c r="Y338" s="94"/>
      <c r="Z338" s="94">
        <f t="shared" si="343"/>
        <v>0</v>
      </c>
      <c r="AC338" s="221" t="s">
        <v>76</v>
      </c>
      <c r="AE338" s="112">
        <f t="shared" si="329"/>
        <v>8</v>
      </c>
      <c r="AG338" s="94">
        <f t="shared" si="330"/>
        <v>162468.47658461539</v>
      </c>
      <c r="AH338" s="94"/>
      <c r="AI338" s="130">
        <f t="shared" si="331"/>
        <v>0</v>
      </c>
      <c r="AJ338" s="130"/>
      <c r="AK338" s="130">
        <f t="shared" si="332"/>
        <v>0</v>
      </c>
      <c r="AL338" s="130"/>
      <c r="AM338" s="130">
        <f t="shared" si="333"/>
        <v>0</v>
      </c>
      <c r="AN338" s="130"/>
      <c r="AO338" s="130">
        <f t="shared" si="334"/>
        <v>0</v>
      </c>
      <c r="AP338" s="130"/>
      <c r="AQ338" s="130">
        <f t="shared" si="335"/>
        <v>0</v>
      </c>
      <c r="AR338" s="130"/>
      <c r="AS338" s="130">
        <f t="shared" si="336"/>
        <v>0</v>
      </c>
      <c r="AT338" s="130"/>
      <c r="AU338" s="130">
        <f t="shared" si="337"/>
        <v>0</v>
      </c>
      <c r="AV338" s="130"/>
      <c r="AW338" s="130">
        <f t="shared" si="338"/>
        <v>0</v>
      </c>
      <c r="AX338" s="130"/>
      <c r="AY338" s="130">
        <f t="shared" si="339"/>
        <v>162468.47658461539</v>
      </c>
      <c r="BA338" s="82">
        <f t="shared" si="340"/>
        <v>0</v>
      </c>
      <c r="BB338" s="67"/>
      <c r="BC338" s="67"/>
      <c r="BD338" s="67"/>
    </row>
    <row r="339" spans="1:56" s="340" customFormat="1" x14ac:dyDescent="0.2">
      <c r="A339" s="511"/>
      <c r="B339" s="512"/>
      <c r="C339" s="516"/>
      <c r="D339" s="273"/>
      <c r="E339" s="94"/>
      <c r="F339" s="221" t="s">
        <v>77</v>
      </c>
      <c r="G339" s="56"/>
      <c r="H339" s="64">
        <v>15</v>
      </c>
      <c r="J339" s="550">
        <v>1854756.1377473995</v>
      </c>
      <c r="K339" s="265"/>
      <c r="L339" s="130">
        <f t="shared" si="322"/>
        <v>1193906.5258680012</v>
      </c>
      <c r="M339" s="94"/>
      <c r="N339" s="130">
        <f t="shared" si="323"/>
        <v>393208.30120244867</v>
      </c>
      <c r="O339" s="94"/>
      <c r="P339" s="130">
        <f t="shared" si="324"/>
        <v>43957.720464613369</v>
      </c>
      <c r="Q339" s="94"/>
      <c r="R339" s="130">
        <f t="shared" si="325"/>
        <v>94963.514252666864</v>
      </c>
      <c r="S339" s="94"/>
      <c r="T339" s="130">
        <f t="shared" si="326"/>
        <v>29305.146976408916</v>
      </c>
      <c r="U339" s="94"/>
      <c r="V339" s="130">
        <f t="shared" si="327"/>
        <v>52118.64747070193</v>
      </c>
      <c r="W339" s="94"/>
      <c r="X339" s="130">
        <f t="shared" si="328"/>
        <v>47296.281512558686</v>
      </c>
      <c r="Y339" s="94"/>
      <c r="Z339" s="94">
        <f t="shared" si="343"/>
        <v>0</v>
      </c>
      <c r="AC339" s="221" t="s">
        <v>77</v>
      </c>
      <c r="AE339" s="112">
        <f t="shared" si="329"/>
        <v>15</v>
      </c>
      <c r="AG339" s="94">
        <f t="shared" si="330"/>
        <v>1854756.1377473995</v>
      </c>
      <c r="AH339" s="94"/>
      <c r="AI339" s="130">
        <f t="shared" si="331"/>
        <v>497074.64491630311</v>
      </c>
      <c r="AJ339" s="130"/>
      <c r="AK339" s="130">
        <f t="shared" si="332"/>
        <v>296760.98203958391</v>
      </c>
      <c r="AL339" s="130"/>
      <c r="AM339" s="130">
        <f t="shared" si="333"/>
        <v>156726.89363965526</v>
      </c>
      <c r="AN339" s="130"/>
      <c r="AO339" s="130">
        <f t="shared" si="334"/>
        <v>317905.20200990426</v>
      </c>
      <c r="AP339" s="130"/>
      <c r="AQ339" s="130">
        <f t="shared" si="335"/>
        <v>60279.574476790483</v>
      </c>
      <c r="AR339" s="130"/>
      <c r="AS339" s="130">
        <f t="shared" si="336"/>
        <v>301954.29922527663</v>
      </c>
      <c r="AT339" s="130"/>
      <c r="AU339" s="130">
        <f t="shared" si="337"/>
        <v>128720.07595966953</v>
      </c>
      <c r="AV339" s="130"/>
      <c r="AW339" s="130">
        <f t="shared" si="338"/>
        <v>48038.183967657649</v>
      </c>
      <c r="AX339" s="130"/>
      <c r="AY339" s="130">
        <f t="shared" si="339"/>
        <v>47296.281512558686</v>
      </c>
      <c r="BA339" s="82">
        <f t="shared" si="340"/>
        <v>0</v>
      </c>
      <c r="BB339" s="67"/>
      <c r="BC339" s="67"/>
      <c r="BD339" s="67"/>
    </row>
    <row r="340" spans="1:56" s="340" customFormat="1" x14ac:dyDescent="0.2">
      <c r="A340" s="511"/>
      <c r="B340" s="512"/>
      <c r="C340" s="516"/>
      <c r="D340" s="273"/>
      <c r="E340" s="94"/>
      <c r="F340" s="221" t="s">
        <v>641</v>
      </c>
      <c r="G340" s="56"/>
      <c r="H340" s="64" t="s">
        <v>4</v>
      </c>
      <c r="J340" s="550">
        <v>4560789</v>
      </c>
      <c r="K340" s="265"/>
      <c r="L340" s="130">
        <f t="shared" si="322"/>
        <v>2827233.1011000001</v>
      </c>
      <c r="M340" s="94"/>
      <c r="N340" s="130">
        <f t="shared" si="323"/>
        <v>1052630.1011999999</v>
      </c>
      <c r="O340" s="94"/>
      <c r="P340" s="130">
        <f t="shared" si="324"/>
        <v>132262.88099999999</v>
      </c>
      <c r="Q340" s="94"/>
      <c r="R340" s="130">
        <f t="shared" si="325"/>
        <v>273647.33999999997</v>
      </c>
      <c r="S340" s="94"/>
      <c r="T340" s="130">
        <f t="shared" si="326"/>
        <v>89391.464399999997</v>
      </c>
      <c r="U340" s="94"/>
      <c r="V340" s="130">
        <f t="shared" si="327"/>
        <v>98969.121299999999</v>
      </c>
      <c r="W340" s="94"/>
      <c r="X340" s="130">
        <f t="shared" si="328"/>
        <v>86654.990999999995</v>
      </c>
      <c r="Y340" s="94"/>
      <c r="Z340" s="94">
        <f t="shared" si="343"/>
        <v>0</v>
      </c>
      <c r="AC340" s="221" t="s">
        <v>78</v>
      </c>
      <c r="AE340" s="112" t="str">
        <f t="shared" si="329"/>
        <v>15A</v>
      </c>
      <c r="AG340" s="94">
        <f t="shared" si="330"/>
        <v>4560789</v>
      </c>
      <c r="AH340" s="94"/>
      <c r="AI340" s="130">
        <f t="shared" si="331"/>
        <v>1880413.3047</v>
      </c>
      <c r="AJ340" s="130"/>
      <c r="AK340" s="130">
        <f t="shared" si="332"/>
        <v>566906.07270000002</v>
      </c>
      <c r="AL340" s="130"/>
      <c r="AM340" s="130">
        <f t="shared" si="333"/>
        <v>271823.02439999999</v>
      </c>
      <c r="AN340" s="130"/>
      <c r="AO340" s="130">
        <f t="shared" si="334"/>
        <v>602936.30580000009</v>
      </c>
      <c r="AP340" s="130"/>
      <c r="AQ340" s="130">
        <f t="shared" si="335"/>
        <v>116756.19840000001</v>
      </c>
      <c r="AR340" s="130"/>
      <c r="AS340" s="130">
        <f t="shared" si="336"/>
        <v>745232.92259999993</v>
      </c>
      <c r="AT340" s="130"/>
      <c r="AU340" s="130">
        <f t="shared" si="337"/>
        <v>197938.2426</v>
      </c>
      <c r="AV340" s="130"/>
      <c r="AW340" s="130">
        <f t="shared" si="338"/>
        <v>92127.9378</v>
      </c>
      <c r="AX340" s="130"/>
      <c r="AY340" s="130">
        <f t="shared" si="339"/>
        <v>86654.990999999995</v>
      </c>
      <c r="BA340" s="82">
        <f t="shared" ref="BA340" si="344">SUM(AI340:AY340)-AG340</f>
        <v>0</v>
      </c>
      <c r="BB340" s="67"/>
      <c r="BC340" s="67"/>
      <c r="BD340" s="67"/>
    </row>
    <row r="341" spans="1:56" s="340" customFormat="1" x14ac:dyDescent="0.2">
      <c r="A341" s="511"/>
      <c r="B341" s="512"/>
      <c r="C341" s="516"/>
      <c r="D341" s="273"/>
      <c r="E341" s="94"/>
      <c r="F341" s="221" t="s">
        <v>79</v>
      </c>
      <c r="G341" s="56"/>
      <c r="H341" s="64">
        <v>17</v>
      </c>
      <c r="J341" s="550">
        <v>-90658582.92232877</v>
      </c>
      <c r="K341" s="265"/>
      <c r="L341" s="130">
        <f t="shared" si="322"/>
        <v>-45864177.100406125</v>
      </c>
      <c r="M341" s="94"/>
      <c r="N341" s="130">
        <f t="shared" si="323"/>
        <v>-25003637.169978272</v>
      </c>
      <c r="O341" s="94"/>
      <c r="P341" s="130">
        <f t="shared" si="324"/>
        <v>-2638164.7630397673</v>
      </c>
      <c r="Q341" s="94"/>
      <c r="R341" s="130">
        <f t="shared" si="325"/>
        <v>-6590878.9784533018</v>
      </c>
      <c r="S341" s="94"/>
      <c r="T341" s="130">
        <f t="shared" si="326"/>
        <v>-1758776.5086931782</v>
      </c>
      <c r="U341" s="94"/>
      <c r="V341" s="130">
        <f t="shared" si="327"/>
        <v>-2964535.6615601508</v>
      </c>
      <c r="W341" s="94"/>
      <c r="X341" s="130">
        <f t="shared" si="328"/>
        <v>-5838412.7401979724</v>
      </c>
      <c r="Y341" s="94"/>
      <c r="Z341" s="94">
        <f t="shared" si="343"/>
        <v>0</v>
      </c>
      <c r="AC341" s="221" t="s">
        <v>79</v>
      </c>
      <c r="AE341" s="112">
        <f t="shared" si="329"/>
        <v>17</v>
      </c>
      <c r="AG341" s="94">
        <f t="shared" si="330"/>
        <v>-90658582.92232877</v>
      </c>
      <c r="AH341" s="94"/>
      <c r="AI341" s="130">
        <f t="shared" si="331"/>
        <v>-36979635.974017903</v>
      </c>
      <c r="AJ341" s="130"/>
      <c r="AK341" s="130">
        <f t="shared" si="332"/>
        <v>-21277569.411870562</v>
      </c>
      <c r="AL341" s="130"/>
      <c r="AM341" s="130">
        <f t="shared" si="333"/>
        <v>-13027638.365938643</v>
      </c>
      <c r="AN341" s="130"/>
      <c r="AO341" s="130">
        <f t="shared" si="334"/>
        <v>-7162028.0508639729</v>
      </c>
      <c r="AP341" s="130"/>
      <c r="AQ341" s="130">
        <f t="shared" si="335"/>
        <v>-1686249.6423553149</v>
      </c>
      <c r="AR341" s="130"/>
      <c r="AS341" s="130">
        <f t="shared" si="336"/>
        <v>-1332681.168958233</v>
      </c>
      <c r="AT341" s="130"/>
      <c r="AU341" s="130">
        <f t="shared" si="337"/>
        <v>-471424.63119610958</v>
      </c>
      <c r="AV341" s="130"/>
      <c r="AW341" s="130">
        <f t="shared" si="338"/>
        <v>-2919206.3700989862</v>
      </c>
      <c r="AX341" s="130"/>
      <c r="AY341" s="130">
        <f t="shared" si="339"/>
        <v>-5802149.3070290415</v>
      </c>
      <c r="BA341" s="82">
        <f t="shared" ref="BA341:BA350" si="345">SUM(AI341:AY341)-AG341</f>
        <v>0</v>
      </c>
      <c r="BB341" s="67"/>
      <c r="BC341" s="67"/>
      <c r="BD341" s="67"/>
    </row>
    <row r="342" spans="1:56" s="340" customFormat="1" x14ac:dyDescent="0.2">
      <c r="A342" s="511"/>
      <c r="B342" s="512"/>
      <c r="C342" s="516"/>
      <c r="D342" s="273"/>
      <c r="E342" s="94"/>
      <c r="F342" s="221" t="s">
        <v>80</v>
      </c>
      <c r="G342" s="56"/>
      <c r="H342" s="64">
        <v>17</v>
      </c>
      <c r="J342" s="550">
        <v>-10001</v>
      </c>
      <c r="K342" s="265"/>
      <c r="L342" s="130">
        <f t="shared" si="322"/>
        <v>-5059.5059000000001</v>
      </c>
      <c r="M342" s="94"/>
      <c r="N342" s="130">
        <f t="shared" si="323"/>
        <v>-2758.2757999999999</v>
      </c>
      <c r="O342" s="94"/>
      <c r="P342" s="130">
        <f t="shared" si="324"/>
        <v>-291.02910000000003</v>
      </c>
      <c r="Q342" s="94"/>
      <c r="R342" s="130">
        <f t="shared" si="325"/>
        <v>-727.07270000000005</v>
      </c>
      <c r="S342" s="94"/>
      <c r="T342" s="130">
        <f t="shared" si="326"/>
        <v>-194.01940000000002</v>
      </c>
      <c r="U342" s="94"/>
      <c r="V342" s="130">
        <f t="shared" si="327"/>
        <v>-327.03269999999998</v>
      </c>
      <c r="W342" s="94"/>
      <c r="X342" s="130">
        <f t="shared" si="328"/>
        <v>-644.06439999999998</v>
      </c>
      <c r="Y342" s="94"/>
      <c r="Z342" s="94">
        <f t="shared" si="343"/>
        <v>0</v>
      </c>
      <c r="AC342" s="221" t="s">
        <v>80</v>
      </c>
      <c r="AE342" s="112">
        <f t="shared" si="329"/>
        <v>17</v>
      </c>
      <c r="AG342" s="94">
        <f t="shared" si="330"/>
        <v>-10001</v>
      </c>
      <c r="AH342" s="94"/>
      <c r="AI342" s="130">
        <f t="shared" si="331"/>
        <v>-4079.4078999999997</v>
      </c>
      <c r="AJ342" s="130"/>
      <c r="AK342" s="130">
        <f t="shared" si="332"/>
        <v>-2347.2347</v>
      </c>
      <c r="AL342" s="130"/>
      <c r="AM342" s="130">
        <f t="shared" si="333"/>
        <v>-1437.1436999999999</v>
      </c>
      <c r="AN342" s="130"/>
      <c r="AO342" s="130">
        <f t="shared" si="334"/>
        <v>-790.07900000000006</v>
      </c>
      <c r="AP342" s="130"/>
      <c r="AQ342" s="130">
        <f t="shared" si="335"/>
        <v>-186.01859999999999</v>
      </c>
      <c r="AR342" s="130"/>
      <c r="AS342" s="130">
        <f t="shared" si="336"/>
        <v>-147.0147</v>
      </c>
      <c r="AT342" s="130"/>
      <c r="AU342" s="130">
        <f t="shared" si="337"/>
        <v>-52.005199999999995</v>
      </c>
      <c r="AV342" s="130"/>
      <c r="AW342" s="130">
        <f t="shared" si="338"/>
        <v>-322.03219999999999</v>
      </c>
      <c r="AX342" s="130"/>
      <c r="AY342" s="130">
        <f t="shared" si="339"/>
        <v>-640.06399999999996</v>
      </c>
      <c r="BA342" s="82">
        <f t="shared" si="345"/>
        <v>0</v>
      </c>
      <c r="BB342" s="67"/>
      <c r="BC342" s="67"/>
      <c r="BD342" s="67"/>
    </row>
    <row r="343" spans="1:56" s="340" customFormat="1" x14ac:dyDescent="0.2">
      <c r="A343" s="511"/>
      <c r="B343" s="512"/>
      <c r="C343" s="516"/>
      <c r="D343" s="273"/>
      <c r="E343" s="94"/>
      <c r="F343" s="221" t="s">
        <v>579</v>
      </c>
      <c r="G343" s="56"/>
      <c r="H343" s="417">
        <v>5</v>
      </c>
      <c r="I343" s="225"/>
      <c r="J343" s="550">
        <v>11816493</v>
      </c>
      <c r="K343" s="265"/>
      <c r="L343" s="130">
        <f t="shared" si="322"/>
        <v>4744321.9394999994</v>
      </c>
      <c r="M343" s="94"/>
      <c r="N343" s="130">
        <f t="shared" si="323"/>
        <v>3092376.2180999997</v>
      </c>
      <c r="O343" s="94"/>
      <c r="P343" s="130">
        <f t="shared" si="324"/>
        <v>391125.91830000008</v>
      </c>
      <c r="Q343" s="94"/>
      <c r="R343" s="130">
        <f t="shared" si="325"/>
        <v>721987.72230000002</v>
      </c>
      <c r="S343" s="94"/>
      <c r="T343" s="130">
        <f t="shared" si="326"/>
        <v>241056.4572</v>
      </c>
      <c r="U343" s="94"/>
      <c r="V343" s="130">
        <f t="shared" si="327"/>
        <v>1269091.3481999999</v>
      </c>
      <c r="W343" s="94"/>
      <c r="X343" s="130">
        <f t="shared" si="328"/>
        <v>1356533.3964</v>
      </c>
      <c r="Y343" s="94"/>
      <c r="Z343" s="94">
        <f t="shared" si="343"/>
        <v>0</v>
      </c>
      <c r="AC343" s="221" t="s">
        <v>579</v>
      </c>
      <c r="AE343" s="112">
        <f t="shared" si="329"/>
        <v>5</v>
      </c>
      <c r="AG343" s="94">
        <f t="shared" si="330"/>
        <v>11816493</v>
      </c>
      <c r="AH343" s="94"/>
      <c r="AI343" s="130">
        <f t="shared" si="331"/>
        <v>3661931.1806999999</v>
      </c>
      <c r="AJ343" s="130"/>
      <c r="AK343" s="130">
        <f t="shared" si="332"/>
        <v>0</v>
      </c>
      <c r="AL343" s="130"/>
      <c r="AM343" s="130">
        <f t="shared" si="333"/>
        <v>5528937.0746999998</v>
      </c>
      <c r="AN343" s="130"/>
      <c r="AO343" s="130">
        <f t="shared" si="334"/>
        <v>0</v>
      </c>
      <c r="AP343" s="130"/>
      <c r="AQ343" s="130">
        <f t="shared" si="335"/>
        <v>0</v>
      </c>
      <c r="AR343" s="130"/>
      <c r="AS343" s="130">
        <f t="shared" si="336"/>
        <v>0</v>
      </c>
      <c r="AT343" s="130"/>
      <c r="AU343" s="130">
        <f t="shared" si="337"/>
        <v>0</v>
      </c>
      <c r="AV343" s="130"/>
      <c r="AW343" s="130">
        <f t="shared" si="338"/>
        <v>1269091.3481999999</v>
      </c>
      <c r="AX343" s="130"/>
      <c r="AY343" s="130">
        <f t="shared" si="339"/>
        <v>1356533.3964</v>
      </c>
      <c r="BA343" s="82">
        <f t="shared" si="345"/>
        <v>0</v>
      </c>
      <c r="BB343" s="67"/>
      <c r="BC343" s="67"/>
      <c r="BD343" s="67"/>
    </row>
    <row r="344" spans="1:56" s="340" customFormat="1" x14ac:dyDescent="0.2">
      <c r="A344" s="511"/>
      <c r="B344" s="512"/>
      <c r="C344" s="516"/>
      <c r="D344" s="273"/>
      <c r="E344" s="94"/>
      <c r="F344" s="221" t="s">
        <v>612</v>
      </c>
      <c r="G344" s="56"/>
      <c r="H344" s="417">
        <v>2</v>
      </c>
      <c r="I344" s="225"/>
      <c r="J344" s="550">
        <v>1198681</v>
      </c>
      <c r="K344" s="265"/>
      <c r="L344" s="130">
        <f t="shared" si="322"/>
        <v>600778.91720000003</v>
      </c>
      <c r="M344" s="94"/>
      <c r="N344" s="130">
        <f t="shared" si="323"/>
        <v>386934.22679999995</v>
      </c>
      <c r="O344" s="94"/>
      <c r="P344" s="130">
        <f t="shared" si="324"/>
        <v>56937.347500000003</v>
      </c>
      <c r="Q344" s="94"/>
      <c r="R344" s="130">
        <f t="shared" si="325"/>
        <v>110398.52010000001</v>
      </c>
      <c r="S344" s="94"/>
      <c r="T344" s="130">
        <f t="shared" si="326"/>
        <v>39316.736799999991</v>
      </c>
      <c r="U344" s="94"/>
      <c r="V344" s="130">
        <f t="shared" si="327"/>
        <v>2157.6257999999998</v>
      </c>
      <c r="W344" s="94"/>
      <c r="X344" s="130">
        <f t="shared" si="328"/>
        <v>2157.6257999999998</v>
      </c>
      <c r="Y344" s="94"/>
      <c r="Z344" s="94">
        <f t="shared" si="343"/>
        <v>0</v>
      </c>
      <c r="AC344" s="221" t="s">
        <v>81</v>
      </c>
      <c r="AE344" s="112">
        <f t="shared" si="329"/>
        <v>2</v>
      </c>
      <c r="AG344" s="94">
        <f t="shared" si="330"/>
        <v>1198681</v>
      </c>
      <c r="AH344" s="94"/>
      <c r="AI344" s="130">
        <f t="shared" si="331"/>
        <v>680611.07179999992</v>
      </c>
      <c r="AJ344" s="130"/>
      <c r="AK344" s="130">
        <f t="shared" si="332"/>
        <v>513754.67660000001</v>
      </c>
      <c r="AL344" s="130"/>
      <c r="AM344" s="130">
        <f t="shared" si="333"/>
        <v>0</v>
      </c>
      <c r="AN344" s="130"/>
      <c r="AO344" s="130">
        <f t="shared" si="334"/>
        <v>0</v>
      </c>
      <c r="AP344" s="130"/>
      <c r="AQ344" s="130">
        <f t="shared" si="335"/>
        <v>0</v>
      </c>
      <c r="AR344" s="130"/>
      <c r="AS344" s="130">
        <f t="shared" si="336"/>
        <v>0</v>
      </c>
      <c r="AT344" s="130"/>
      <c r="AU344" s="130">
        <f t="shared" si="337"/>
        <v>0</v>
      </c>
      <c r="AV344" s="130"/>
      <c r="AW344" s="130">
        <f t="shared" si="338"/>
        <v>2157.6257999999998</v>
      </c>
      <c r="AX344" s="130"/>
      <c r="AY344" s="130">
        <f t="shared" si="339"/>
        <v>2157.6257999999998</v>
      </c>
      <c r="BA344" s="82">
        <f t="shared" si="345"/>
        <v>0</v>
      </c>
      <c r="BB344" s="67"/>
      <c r="BC344" s="67"/>
      <c r="BD344" s="67"/>
    </row>
    <row r="345" spans="1:56" s="340" customFormat="1" x14ac:dyDescent="0.2">
      <c r="A345" s="511"/>
      <c r="B345" s="512"/>
      <c r="C345" s="516"/>
      <c r="D345" s="273"/>
      <c r="E345" s="94"/>
      <c r="F345" s="221" t="s">
        <v>82</v>
      </c>
      <c r="G345" s="56"/>
      <c r="H345" s="64">
        <v>17</v>
      </c>
      <c r="J345" s="550">
        <v>-14660.240416666666</v>
      </c>
      <c r="K345" s="265"/>
      <c r="L345" s="506">
        <f t="shared" si="322"/>
        <v>-7416.6156267916667</v>
      </c>
      <c r="M345" s="94"/>
      <c r="N345" s="506">
        <f t="shared" si="323"/>
        <v>-4043.2943069166663</v>
      </c>
      <c r="O345" s="94"/>
      <c r="P345" s="506">
        <f t="shared" si="324"/>
        <v>-426.612996125</v>
      </c>
      <c r="Q345" s="94"/>
      <c r="R345" s="506">
        <f t="shared" si="325"/>
        <v>-1065.7994782916667</v>
      </c>
      <c r="S345" s="94"/>
      <c r="T345" s="506">
        <f t="shared" si="326"/>
        <v>-284.40866408333335</v>
      </c>
      <c r="U345" s="94"/>
      <c r="V345" s="506">
        <f t="shared" si="327"/>
        <v>-479.38986162499998</v>
      </c>
      <c r="W345" s="94"/>
      <c r="X345" s="506">
        <f t="shared" si="328"/>
        <v>-944.11948283333322</v>
      </c>
      <c r="Y345" s="94"/>
      <c r="Z345" s="94">
        <f t="shared" si="343"/>
        <v>0</v>
      </c>
      <c r="AC345" s="221" t="s">
        <v>82</v>
      </c>
      <c r="AE345" s="112">
        <f t="shared" si="329"/>
        <v>17</v>
      </c>
      <c r="AG345" s="545">
        <f t="shared" si="330"/>
        <v>-14660.240416666666</v>
      </c>
      <c r="AH345" s="94"/>
      <c r="AI345" s="506">
        <f t="shared" si="331"/>
        <v>-5979.9120659583323</v>
      </c>
      <c r="AJ345" s="94"/>
      <c r="AK345" s="506">
        <f t="shared" si="332"/>
        <v>-3440.7584257916665</v>
      </c>
      <c r="AL345" s="94"/>
      <c r="AM345" s="506">
        <f t="shared" si="333"/>
        <v>-2106.6765478749999</v>
      </c>
      <c r="AN345" s="94"/>
      <c r="AO345" s="506">
        <f t="shared" si="334"/>
        <v>-1158.1589929166666</v>
      </c>
      <c r="AP345" s="94"/>
      <c r="AQ345" s="506">
        <f t="shared" si="335"/>
        <v>-272.68047174999998</v>
      </c>
      <c r="AR345" s="94"/>
      <c r="AS345" s="506">
        <f t="shared" si="336"/>
        <v>-215.50553412499997</v>
      </c>
      <c r="AT345" s="94"/>
      <c r="AU345" s="506">
        <f t="shared" si="337"/>
        <v>-76.233250166666664</v>
      </c>
      <c r="AV345" s="94"/>
      <c r="AW345" s="506">
        <f t="shared" si="338"/>
        <v>-472.05974141666661</v>
      </c>
      <c r="AX345" s="94"/>
      <c r="AY345" s="506">
        <f t="shared" si="339"/>
        <v>-938.2553866666666</v>
      </c>
      <c r="BA345" s="82">
        <f t="shared" si="345"/>
        <v>0</v>
      </c>
      <c r="BB345" s="67"/>
      <c r="BC345" s="67"/>
      <c r="BD345" s="67"/>
    </row>
    <row r="346" spans="1:56" s="340" customFormat="1" x14ac:dyDescent="0.2">
      <c r="A346" s="511"/>
      <c r="B346" s="512"/>
      <c r="C346" s="516"/>
      <c r="D346" s="273"/>
      <c r="E346" s="94"/>
      <c r="G346" s="56"/>
      <c r="H346" s="64"/>
      <c r="J346" s="544"/>
      <c r="K346" s="94"/>
      <c r="L346" s="266"/>
      <c r="M346" s="94"/>
      <c r="N346" s="266"/>
      <c r="O346" s="94"/>
      <c r="P346" s="266"/>
      <c r="Q346" s="94"/>
      <c r="R346" s="266"/>
      <c r="S346" s="94"/>
      <c r="T346" s="266"/>
      <c r="U346" s="94"/>
      <c r="V346" s="266"/>
      <c r="W346" s="94"/>
      <c r="X346" s="266"/>
      <c r="Z346" s="94">
        <f t="shared" si="343"/>
        <v>0</v>
      </c>
      <c r="AE346" s="112"/>
      <c r="AG346" s="265"/>
      <c r="AH346" s="94"/>
      <c r="AI346" s="265"/>
      <c r="AJ346" s="94"/>
      <c r="AK346" s="265"/>
      <c r="AL346" s="94"/>
      <c r="AM346" s="265"/>
      <c r="AN346" s="94"/>
      <c r="AO346" s="265"/>
      <c r="AP346" s="94"/>
      <c r="AQ346" s="265"/>
      <c r="AR346" s="94"/>
      <c r="AS346" s="265"/>
      <c r="AT346" s="94"/>
      <c r="AU346" s="265"/>
      <c r="AV346" s="94"/>
      <c r="AW346" s="265"/>
      <c r="AX346" s="94"/>
      <c r="AY346" s="265"/>
      <c r="BA346" s="82">
        <f t="shared" si="345"/>
        <v>0</v>
      </c>
      <c r="BB346" s="67"/>
      <c r="BC346" s="67"/>
      <c r="BD346" s="67"/>
    </row>
    <row r="347" spans="1:56" s="340" customFormat="1" x14ac:dyDescent="0.2">
      <c r="A347" s="511"/>
      <c r="B347" s="512"/>
      <c r="C347" s="516"/>
      <c r="D347" s="273"/>
      <c r="E347" s="94"/>
      <c r="F347" s="340" t="s">
        <v>216</v>
      </c>
      <c r="G347" s="56"/>
      <c r="H347" s="64"/>
      <c r="J347" s="266">
        <f>SUM(J330:J346)</f>
        <v>-64935007.596185662</v>
      </c>
      <c r="K347" s="94"/>
      <c r="L347" s="266">
        <f>SUM(L330:L346)</f>
        <v>-33361184.100132663</v>
      </c>
      <c r="M347" s="94"/>
      <c r="N347" s="266">
        <f>SUM(N330:N346)</f>
        <v>-18275576.368839007</v>
      </c>
      <c r="O347" s="94"/>
      <c r="P347" s="266">
        <f>SUM(P330:P346)</f>
        <v>-1765803.7649183529</v>
      </c>
      <c r="Q347" s="94"/>
      <c r="R347" s="266">
        <f>SUM(R330:R346)</f>
        <v>-4888081.1073607113</v>
      </c>
      <c r="S347" s="94"/>
      <c r="T347" s="266">
        <f>SUM(T330:T346)</f>
        <v>-1189284.2343557565</v>
      </c>
      <c r="U347" s="94"/>
      <c r="V347" s="266">
        <f>SUM(V330:V346)</f>
        <v>-1406484.8666026483</v>
      </c>
      <c r="W347" s="94"/>
      <c r="X347" s="266">
        <f>SUM(X330:X346)</f>
        <v>-4048593.1539765364</v>
      </c>
      <c r="Z347" s="94">
        <f t="shared" si="343"/>
        <v>0</v>
      </c>
      <c r="AC347" s="340" t="s">
        <v>216</v>
      </c>
      <c r="AD347" s="56"/>
      <c r="AE347" s="64"/>
      <c r="AG347" s="266">
        <f>SUM(AG330:AG346)</f>
        <v>-64935007.596185662</v>
      </c>
      <c r="AH347" s="94"/>
      <c r="AI347" s="266">
        <f>SUM(AI330:AI346)</f>
        <v>-27248992.375918224</v>
      </c>
      <c r="AJ347" s="94"/>
      <c r="AK347" s="266">
        <f>SUM(AK330:AK346)</f>
        <v>-17711659.849691443</v>
      </c>
      <c r="AL347" s="94"/>
      <c r="AM347" s="266">
        <f>SUM(AM330:AM346)</f>
        <v>-6913269.5551385777</v>
      </c>
      <c r="AN347" s="94"/>
      <c r="AO347" s="266">
        <f>SUM(AO330:AO346)</f>
        <v>-5957025.0076912791</v>
      </c>
      <c r="AP347" s="94"/>
      <c r="AQ347" s="266">
        <f>SUM(AQ330:AQ346)</f>
        <v>-1286319.8542713744</v>
      </c>
      <c r="AR347" s="94"/>
      <c r="AS347" s="266">
        <f>SUM(AS330:AS346)</f>
        <v>-282546.09713083139</v>
      </c>
      <c r="AT347" s="94"/>
      <c r="AU347" s="266">
        <f>SUM(AU330:AU346)</f>
        <v>-143723.53576494005</v>
      </c>
      <c r="AV347" s="94"/>
      <c r="AW347" s="266">
        <f>SUM(AW330:AW346)</f>
        <v>-1375517.469024556</v>
      </c>
      <c r="AX347" s="94"/>
      <c r="AY347" s="266">
        <f>SUM(AY330:AY346)</f>
        <v>-4015953.851554432</v>
      </c>
      <c r="BA347" s="82">
        <f t="shared" si="345"/>
        <v>0</v>
      </c>
      <c r="BB347" s="67"/>
      <c r="BC347" s="67"/>
      <c r="BD347" s="67"/>
    </row>
    <row r="348" spans="1:56" s="340" customFormat="1" x14ac:dyDescent="0.2">
      <c r="A348" s="511"/>
      <c r="B348" s="512"/>
      <c r="C348" s="516"/>
      <c r="D348" s="273"/>
      <c r="E348" s="94"/>
      <c r="G348" s="56"/>
      <c r="H348" s="64"/>
      <c r="J348" s="266"/>
      <c r="K348" s="94"/>
      <c r="L348" s="266"/>
      <c r="M348" s="94"/>
      <c r="N348" s="266"/>
      <c r="O348" s="94"/>
      <c r="P348" s="266"/>
      <c r="Q348" s="94"/>
      <c r="R348" s="266"/>
      <c r="S348" s="94"/>
      <c r="T348" s="266"/>
      <c r="U348" s="94"/>
      <c r="V348" s="266"/>
      <c r="W348" s="94"/>
      <c r="X348" s="266"/>
      <c r="Z348" s="94">
        <f t="shared" si="343"/>
        <v>0</v>
      </c>
      <c r="AD348" s="56"/>
      <c r="AE348" s="64"/>
      <c r="AG348" s="266"/>
      <c r="AH348" s="94"/>
      <c r="AI348" s="266"/>
      <c r="AJ348" s="94"/>
      <c r="AK348" s="266"/>
      <c r="AL348" s="94"/>
      <c r="AM348" s="266"/>
      <c r="AN348" s="94"/>
      <c r="AO348" s="266"/>
      <c r="AP348" s="94"/>
      <c r="AQ348" s="266"/>
      <c r="AR348" s="94"/>
      <c r="AS348" s="266"/>
      <c r="AT348" s="94"/>
      <c r="AU348" s="266"/>
      <c r="AV348" s="94"/>
      <c r="AW348" s="266"/>
      <c r="AX348" s="94"/>
      <c r="AY348" s="266"/>
      <c r="BA348" s="82">
        <f t="shared" si="345"/>
        <v>0</v>
      </c>
      <c r="BB348" s="67"/>
      <c r="BC348" s="67"/>
      <c r="BD348" s="67"/>
    </row>
    <row r="349" spans="1:56" s="340" customFormat="1" ht="13.5" thickBot="1" x14ac:dyDescent="0.25">
      <c r="A349" s="511"/>
      <c r="B349" s="512"/>
      <c r="C349" s="516"/>
      <c r="D349" s="273"/>
      <c r="E349" s="94"/>
      <c r="F349" s="340" t="s">
        <v>217</v>
      </c>
      <c r="G349" s="56"/>
      <c r="H349" s="64"/>
      <c r="J349" s="644">
        <f>J327+J347</f>
        <v>441111572.11700463</v>
      </c>
      <c r="K349" s="94"/>
      <c r="L349" s="644">
        <f>L327+L347</f>
        <v>223628668.9498148</v>
      </c>
      <c r="M349" s="94"/>
      <c r="N349" s="644">
        <f>N327+N347</f>
        <v>121452569.19817136</v>
      </c>
      <c r="O349" s="94"/>
      <c r="P349" s="644">
        <f>P327+P347</f>
        <v>12848840.247310547</v>
      </c>
      <c r="Q349" s="94"/>
      <c r="R349" s="644">
        <f>R327+R347</f>
        <v>32007419.166745879</v>
      </c>
      <c r="S349" s="94"/>
      <c r="T349" s="644">
        <f>T327+T347</f>
        <v>8568138.3226938415</v>
      </c>
      <c r="U349" s="94"/>
      <c r="V349" s="644">
        <f>V327+V347</f>
        <v>14393219.06888544</v>
      </c>
      <c r="W349" s="94"/>
      <c r="X349" s="644">
        <f>X327+X347</f>
        <v>28212717.16338278</v>
      </c>
      <c r="Z349" s="94">
        <f t="shared" si="343"/>
        <v>0</v>
      </c>
      <c r="AC349" s="340" t="s">
        <v>217</v>
      </c>
      <c r="AD349" s="56"/>
      <c r="AE349" s="64"/>
      <c r="AG349" s="644">
        <f>AG327+AG347</f>
        <v>441111572.11700463</v>
      </c>
      <c r="AH349" s="94"/>
      <c r="AI349" s="644">
        <f>AI327+AI347</f>
        <v>179989504.00046349</v>
      </c>
      <c r="AJ349" s="94"/>
      <c r="AK349" s="644">
        <f>AK327+AK347</f>
        <v>103059624.37136322</v>
      </c>
      <c r="AL349" s="94"/>
      <c r="AM349" s="644">
        <f>AM327+AM347</f>
        <v>62877819.911045574</v>
      </c>
      <c r="AN349" s="94"/>
      <c r="AO349" s="644">
        <f>AO327+AO347</f>
        <v>35108410.471964978</v>
      </c>
      <c r="AP349" s="94"/>
      <c r="AQ349" s="644">
        <f>AQ327+AQ347</f>
        <v>8239589.9329769909</v>
      </c>
      <c r="AR349" s="94"/>
      <c r="AS349" s="644">
        <f>AS327+AS347</f>
        <v>7180419.2101027956</v>
      </c>
      <c r="AT349" s="94"/>
      <c r="AU349" s="644">
        <f>AU327+AU347</f>
        <v>2537227.5884791026</v>
      </c>
      <c r="AV349" s="94"/>
      <c r="AW349" s="644">
        <f>AW327+AW347</f>
        <v>14127039.684022125</v>
      </c>
      <c r="AX349" s="94"/>
      <c r="AY349" s="644">
        <f>AY327+AY347</f>
        <v>27991936.946586479</v>
      </c>
      <c r="BA349" s="82">
        <f t="shared" si="345"/>
        <v>0</v>
      </c>
      <c r="BB349" s="67"/>
      <c r="BC349" s="67"/>
      <c r="BD349" s="67"/>
    </row>
    <row r="350" spans="1:56" s="340" customFormat="1" ht="13.5" thickTop="1" x14ac:dyDescent="0.2">
      <c r="A350" s="511"/>
      <c r="B350" s="512"/>
      <c r="C350" s="516"/>
      <c r="D350" s="274"/>
      <c r="E350" s="265"/>
      <c r="F350" s="215"/>
      <c r="G350" s="127"/>
      <c r="H350" s="525"/>
      <c r="J350" s="267"/>
      <c r="K350" s="265"/>
      <c r="L350" s="267"/>
      <c r="M350" s="265"/>
      <c r="N350" s="267"/>
      <c r="O350" s="265"/>
      <c r="P350" s="267"/>
      <c r="Q350" s="265"/>
      <c r="R350" s="267"/>
      <c r="S350" s="265"/>
      <c r="T350" s="267"/>
      <c r="U350" s="265"/>
      <c r="V350" s="267"/>
      <c r="W350" s="265"/>
      <c r="X350" s="267"/>
      <c r="Z350" s="82"/>
      <c r="AC350" s="215"/>
      <c r="AE350" s="112"/>
      <c r="AG350" s="265"/>
      <c r="AH350" s="265"/>
      <c r="AI350" s="267"/>
      <c r="AJ350" s="267"/>
      <c r="AK350" s="267"/>
      <c r="AL350" s="267"/>
      <c r="AM350" s="267"/>
      <c r="AN350" s="267"/>
      <c r="AO350" s="267"/>
      <c r="AP350" s="267"/>
      <c r="AQ350" s="267"/>
      <c r="AR350" s="267"/>
      <c r="AS350" s="267"/>
      <c r="AT350" s="267"/>
      <c r="AU350" s="267"/>
      <c r="AV350" s="267"/>
      <c r="AW350" s="267"/>
      <c r="AX350" s="267"/>
      <c r="AY350" s="267"/>
      <c r="BA350" s="82">
        <f t="shared" si="345"/>
        <v>0</v>
      </c>
    </row>
    <row r="351" spans="1:56" x14ac:dyDescent="0.2">
      <c r="A351" s="689"/>
      <c r="B351" s="690"/>
      <c r="C351" s="691"/>
      <c r="D351" s="274"/>
      <c r="E351" s="265"/>
      <c r="F351" s="645">
        <f>+SUM(J331:J339)</f>
        <v>7947078.3123931047</v>
      </c>
      <c r="G351" s="127"/>
      <c r="H351" s="128"/>
      <c r="I351" s="340"/>
      <c r="J351" s="498"/>
      <c r="K351" s="129"/>
      <c r="L351" s="498"/>
      <c r="M351" s="216"/>
      <c r="N351" s="498"/>
      <c r="O351" s="216"/>
      <c r="P351" s="498"/>
      <c r="Q351" s="216"/>
      <c r="R351" s="498"/>
      <c r="S351" s="216"/>
      <c r="T351" s="498"/>
      <c r="U351" s="216"/>
      <c r="V351" s="498"/>
      <c r="W351" s="216"/>
      <c r="X351" s="498"/>
      <c r="Z351" s="82"/>
      <c r="AC351" s="91"/>
      <c r="AE351" s="112"/>
      <c r="AG351" s="265"/>
      <c r="AH351" s="265"/>
      <c r="AI351" s="645"/>
      <c r="AJ351" s="645"/>
      <c r="AK351" s="645"/>
      <c r="AL351" s="645"/>
      <c r="AM351" s="645"/>
      <c r="AN351" s="645"/>
      <c r="AO351" s="645"/>
      <c r="AP351" s="645"/>
      <c r="AQ351" s="645"/>
      <c r="AR351" s="645"/>
      <c r="AS351" s="645"/>
      <c r="AT351" s="645"/>
      <c r="AU351" s="645"/>
      <c r="AV351" s="645"/>
      <c r="AW351" s="645"/>
      <c r="AX351" s="645"/>
      <c r="AY351" s="645"/>
      <c r="BA351" s="82"/>
    </row>
    <row r="352" spans="1:56" x14ac:dyDescent="0.2">
      <c r="B352" s="693"/>
      <c r="C352" s="691"/>
      <c r="D352" s="274"/>
      <c r="E352" s="265"/>
      <c r="F352" s="127"/>
      <c r="G352" s="127"/>
      <c r="H352" s="128"/>
      <c r="I352" s="340"/>
      <c r="J352" s="499"/>
      <c r="K352" s="217"/>
      <c r="L352" s="499"/>
      <c r="M352" s="499"/>
      <c r="N352" s="499"/>
      <c r="O352" s="499"/>
      <c r="P352" s="499"/>
      <c r="Q352" s="499"/>
      <c r="R352" s="499"/>
      <c r="S352" s="499"/>
      <c r="T352" s="499"/>
      <c r="U352" s="499"/>
      <c r="V352" s="499"/>
      <c r="W352" s="499"/>
      <c r="X352" s="499"/>
      <c r="Z352" s="82"/>
      <c r="AC352" s="127"/>
      <c r="AG352" s="217"/>
      <c r="AH352" s="217"/>
      <c r="AI352" s="217"/>
      <c r="AJ352" s="217"/>
      <c r="AK352" s="217"/>
      <c r="AL352" s="217"/>
      <c r="AM352" s="217"/>
      <c r="AN352" s="217"/>
      <c r="AO352" s="217"/>
      <c r="AP352" s="217"/>
      <c r="AQ352" s="217"/>
      <c r="AR352" s="217"/>
      <c r="AS352" s="217"/>
      <c r="AT352" s="217"/>
      <c r="AU352" s="217"/>
      <c r="AV352" s="217"/>
      <c r="AW352" s="217"/>
      <c r="AX352" s="217"/>
      <c r="AY352" s="217"/>
      <c r="BA352" s="82"/>
    </row>
    <row r="353" spans="1:54" x14ac:dyDescent="0.2">
      <c r="B353" s="693"/>
      <c r="C353" s="691"/>
      <c r="I353" s="340"/>
      <c r="J353" s="67"/>
      <c r="AA353" s="82"/>
      <c r="AC353" s="56"/>
      <c r="AG353" s="68"/>
      <c r="AH353" s="68"/>
      <c r="AI353" s="68"/>
      <c r="AJ353" s="68"/>
      <c r="AK353" s="68"/>
      <c r="AL353" s="68"/>
      <c r="AM353" s="68"/>
      <c r="AN353" s="68"/>
      <c r="AO353" s="68"/>
      <c r="AP353" s="68"/>
      <c r="AQ353" s="68"/>
      <c r="AR353" s="68"/>
      <c r="AS353" s="68"/>
      <c r="AT353" s="68"/>
      <c r="AU353" s="68"/>
      <c r="AV353" s="68"/>
      <c r="AW353" s="68"/>
      <c r="AX353" s="68"/>
      <c r="AY353" s="68"/>
    </row>
    <row r="354" spans="1:54" x14ac:dyDescent="0.2">
      <c r="B354" s="693"/>
      <c r="C354" s="691"/>
      <c r="I354" s="340"/>
      <c r="J354" s="67"/>
      <c r="AA354" s="82"/>
      <c r="AQ354" s="236">
        <f>+AS364+AU364</f>
        <v>0.20679999999999998</v>
      </c>
      <c r="AS354" s="236">
        <f>+AS370+AU370</f>
        <v>2.2099999999999998E-2</v>
      </c>
    </row>
    <row r="355" spans="1:54" x14ac:dyDescent="0.2">
      <c r="B355" s="693"/>
      <c r="C355" s="691"/>
      <c r="I355" s="340"/>
      <c r="J355" s="67"/>
      <c r="AA355" s="82"/>
    </row>
    <row r="356" spans="1:54" x14ac:dyDescent="0.2">
      <c r="B356" s="693"/>
      <c r="C356" s="691"/>
      <c r="I356" s="340"/>
      <c r="J356" s="67"/>
      <c r="AA356" s="82"/>
    </row>
    <row r="357" spans="1:54" x14ac:dyDescent="0.2">
      <c r="B357" s="693"/>
      <c r="C357" s="691"/>
      <c r="F357" s="98" t="s">
        <v>107</v>
      </c>
      <c r="I357" s="340"/>
      <c r="J357" s="67">
        <f>+J72+J73+J74</f>
        <v>1511558.0702285953</v>
      </c>
      <c r="L357" s="67">
        <f>+L72+L73+L74</f>
        <v>1208537.9100208043</v>
      </c>
      <c r="M357" s="340"/>
      <c r="N357" s="67">
        <f>+N72+N73+N74</f>
        <v>216921.33562219038</v>
      </c>
      <c r="O357" s="340"/>
      <c r="P357" s="67">
        <f>+P72+P73+P74</f>
        <v>6986.3075545174343</v>
      </c>
      <c r="Q357" s="340"/>
      <c r="R357" s="67">
        <f>+R72+R73+R74</f>
        <v>43140.316867254078</v>
      </c>
      <c r="S357" s="340"/>
      <c r="T357" s="67">
        <f>+T72+T73+T74</f>
        <v>3365.0252848532755</v>
      </c>
      <c r="U357" s="340"/>
      <c r="V357" s="67">
        <f>+V72+V73+V74</f>
        <v>24679.315341416499</v>
      </c>
      <c r="W357" s="340"/>
      <c r="X357" s="67">
        <f>+X72+X73+X74</f>
        <v>7927.8595375593432</v>
      </c>
      <c r="Z357" s="82">
        <f>SUM(L357:X357)-J357</f>
        <v>0</v>
      </c>
      <c r="AA357" s="82"/>
      <c r="AC357" s="98" t="s">
        <v>107</v>
      </c>
      <c r="AD357" s="56"/>
      <c r="AE357" s="63"/>
      <c r="AF357" s="53"/>
      <c r="AG357" s="65">
        <f>+AG72+AG73+AG74</f>
        <v>1511558.0702285953</v>
      </c>
      <c r="AH357" s="53"/>
      <c r="AI357" s="65">
        <f>+AI72+AI73+AI74</f>
        <v>50867.145192068165</v>
      </c>
      <c r="AJ357" s="53"/>
      <c r="AK357" s="65">
        <f>+AK72+AK73+AK74</f>
        <v>11530.236839866575</v>
      </c>
      <c r="AL357" s="53"/>
      <c r="AM357" s="65">
        <f>+AM72+AM73+AM74</f>
        <v>53720.122836596158</v>
      </c>
      <c r="AN357" s="53"/>
      <c r="AO357" s="65">
        <f>+AO72+AO73+AO74</f>
        <v>1362833.3904810885</v>
      </c>
      <c r="AP357" s="53"/>
      <c r="AQ357" s="65">
        <f>+AQ72+AQ73+AQ74</f>
        <v>0</v>
      </c>
      <c r="AR357" s="53"/>
      <c r="AS357" s="65">
        <f>+AS72+AS73+AS74</f>
        <v>0</v>
      </c>
      <c r="AT357" s="53"/>
      <c r="AU357" s="65">
        <f>+AU72+AU73+AU74</f>
        <v>0</v>
      </c>
      <c r="AV357" s="53"/>
      <c r="AW357" s="65">
        <f>+AW72+AW73+AW74</f>
        <v>24679.315341416499</v>
      </c>
      <c r="AX357" s="53"/>
      <c r="AY357" s="65">
        <f>+AY72+AY73+AY74</f>
        <v>7927.8595375593432</v>
      </c>
      <c r="BA357" s="82">
        <f>SUM(AI357:AY357)-AG357</f>
        <v>0</v>
      </c>
    </row>
    <row r="358" spans="1:54" x14ac:dyDescent="0.2">
      <c r="B358" s="693"/>
      <c r="C358" s="691"/>
      <c r="F358" s="98" t="s">
        <v>104</v>
      </c>
      <c r="I358" s="340"/>
      <c r="J358" s="67"/>
      <c r="L358" s="236">
        <f>ROUND(L357/$J357,4)+0.0002</f>
        <v>0.79969999999999997</v>
      </c>
      <c r="M358" s="236"/>
      <c r="N358" s="236">
        <f>ROUND(N357/$J357,4)</f>
        <v>0.14349999999999999</v>
      </c>
      <c r="O358" s="236"/>
      <c r="P358" s="236">
        <f t="shared" ref="P358:X358" si="346">ROUND(P357/$J357,4)</f>
        <v>4.5999999999999999E-3</v>
      </c>
      <c r="Q358" s="236"/>
      <c r="R358" s="236">
        <f t="shared" si="346"/>
        <v>2.8500000000000001E-2</v>
      </c>
      <c r="S358" s="236"/>
      <c r="T358" s="236">
        <f t="shared" si="346"/>
        <v>2.2000000000000001E-3</v>
      </c>
      <c r="U358" s="236"/>
      <c r="V358" s="236">
        <f t="shared" si="346"/>
        <v>1.6299999999999999E-2</v>
      </c>
      <c r="W358" s="236"/>
      <c r="X358" s="236">
        <f t="shared" si="346"/>
        <v>5.1999999999999998E-3</v>
      </c>
      <c r="Z358" s="236">
        <f>SUM(L358:X358)</f>
        <v>0.99999999999999989</v>
      </c>
      <c r="AA358" s="82"/>
      <c r="AC358" s="98" t="s">
        <v>104</v>
      </c>
      <c r="AD358" s="56"/>
      <c r="AE358" s="63"/>
      <c r="AF358" s="53"/>
      <c r="AG358" s="65"/>
      <c r="AH358" s="53"/>
      <c r="AI358" s="102">
        <f>ROUND(AI357/$J357,4)+0.0001</f>
        <v>3.3800000000000004E-2</v>
      </c>
      <c r="AJ358" s="102"/>
      <c r="AK358" s="102">
        <f>ROUND(AK357/$J357,4)</f>
        <v>7.6E-3</v>
      </c>
      <c r="AL358" s="102"/>
      <c r="AM358" s="102">
        <f>ROUND(AM357/$J357,4)</f>
        <v>3.5499999999999997E-2</v>
      </c>
      <c r="AN358" s="102"/>
      <c r="AO358" s="102">
        <f>ROUND(AO357/$J357,4)</f>
        <v>0.90159999999999996</v>
      </c>
      <c r="AP358" s="102"/>
      <c r="AQ358" s="102">
        <f>ROUND(AQ357/$J357,4)</f>
        <v>0</v>
      </c>
      <c r="AR358" s="102"/>
      <c r="AS358" s="102">
        <f>ROUND(AS357/$J357,4)</f>
        <v>0</v>
      </c>
      <c r="AT358" s="102"/>
      <c r="AU358" s="102">
        <f>ROUND(AU357/$J357,4)</f>
        <v>0</v>
      </c>
      <c r="AV358" s="102"/>
      <c r="AW358" s="102">
        <f>ROUND(AW357/$J357,4)</f>
        <v>1.6299999999999999E-2</v>
      </c>
      <c r="AX358" s="102"/>
      <c r="AY358" s="102">
        <f>ROUND(AY357/$J357,4)</f>
        <v>5.1999999999999998E-3</v>
      </c>
      <c r="AZ358" s="103"/>
      <c r="BA358" s="102">
        <f>SUM(AI358:AY358)</f>
        <v>0.99999999999999989</v>
      </c>
    </row>
    <row r="359" spans="1:54" x14ac:dyDescent="0.2">
      <c r="B359" s="693"/>
      <c r="C359" s="691"/>
      <c r="F359" s="98" t="s">
        <v>108</v>
      </c>
      <c r="I359" s="340"/>
      <c r="J359" s="67">
        <f>+J92+J93+J94+J95+J96+J100+J99</f>
        <v>1533070.8983456853</v>
      </c>
      <c r="K359" s="340"/>
      <c r="L359" s="67">
        <f t="shared" ref="L359" si="347">+L92+L93+L94+L95+L96+L100+L99</f>
        <v>739485.35461191332</v>
      </c>
      <c r="M359" s="340"/>
      <c r="N359" s="67">
        <f t="shared" ref="N359" si="348">+N92+N93+N94+N95+N96+N100+N99</f>
        <v>350358.41669317137</v>
      </c>
      <c r="O359" s="340"/>
      <c r="P359" s="67">
        <f t="shared" ref="P359" si="349">+P92+P93+P94+P95+P96+P100+P99</f>
        <v>37830.389956905354</v>
      </c>
      <c r="Q359" s="340"/>
      <c r="R359" s="67">
        <f t="shared" ref="R359" si="350">+R92+R93+R94+R95+R96+R100+R99</f>
        <v>78928.99550479732</v>
      </c>
      <c r="S359" s="340"/>
      <c r="T359" s="67">
        <f t="shared" ref="T359" si="351">+T92+T93+T94+T95+T96+T100+T99</f>
        <v>23129.267934725242</v>
      </c>
      <c r="U359" s="340"/>
      <c r="V359" s="67">
        <f t="shared" ref="V359" si="352">+V92+V93+V94+V95+V96+V100+V99</f>
        <v>135663.57992799592</v>
      </c>
      <c r="W359" s="340"/>
      <c r="X359" s="67">
        <f t="shared" ref="X359" si="353">+X92+X93+X94+X95+X96+X100+X99</f>
        <v>167674.8937161768</v>
      </c>
      <c r="Z359" s="82">
        <f>SUM(L359:X359)-J359</f>
        <v>0</v>
      </c>
      <c r="AA359" s="82"/>
      <c r="AC359" s="98" t="s">
        <v>108</v>
      </c>
      <c r="AD359" s="56"/>
      <c r="AE359" s="63"/>
      <c r="AF359" s="53"/>
      <c r="AG359" s="67">
        <f>+AG92+AG93+AG94+AG95+AG96+AG100+AG99</f>
        <v>1533070.8983456853</v>
      </c>
      <c r="AH359" s="53"/>
      <c r="AI359" s="67">
        <f t="shared" ref="AI359" si="354">+AI92+AI93+AI94+AI95+AI96+AI100+AI99</f>
        <v>374972.06660596724</v>
      </c>
      <c r="AJ359" s="53"/>
      <c r="AK359" s="67">
        <f t="shared" ref="AK359" si="355">+AK92+AK93+AK94+AK95+AK96+AK100+AK99</f>
        <v>8294.3565466097934</v>
      </c>
      <c r="AL359" s="53"/>
      <c r="AM359" s="67">
        <f t="shared" ref="AM359" si="356">+AM92+AM93+AM94+AM95+AM96+AM100+AM99</f>
        <v>549544.8920365423</v>
      </c>
      <c r="AN359" s="53"/>
      <c r="AO359" s="67">
        <f t="shared" ref="AO359" si="357">+AO92+AO93+AO94+AO95+AO96+AO100+AO99</f>
        <v>68290.16635378552</v>
      </c>
      <c r="AP359" s="53"/>
      <c r="AQ359" s="67">
        <f t="shared" ref="AQ359" si="358">+AQ92+AQ93+AQ94+AQ95+AQ96+AQ100+AQ99</f>
        <v>228630.9431586077</v>
      </c>
      <c r="AR359" s="53"/>
      <c r="AS359" s="67">
        <f t="shared" ref="AS359" si="359">+AS92+AS93+AS94+AS95+AS96+AS100+AS99</f>
        <v>0</v>
      </c>
      <c r="AT359" s="53"/>
      <c r="AU359" s="67">
        <f t="shared" ref="AU359" si="360">+AU92+AU93+AU94+AU95+AU96+AU100+AU99</f>
        <v>0</v>
      </c>
      <c r="AV359" s="53"/>
      <c r="AW359" s="67">
        <f t="shared" ref="AW359" si="361">+AW92+AW93+AW94+AW95+AW96+AW100+AW99</f>
        <v>135663.57992799592</v>
      </c>
      <c r="AX359" s="53"/>
      <c r="AY359" s="67">
        <f t="shared" ref="AY359" si="362">+AY92+AY93+AY94+AY95+AY96+AY100+AY99</f>
        <v>167674.8937161768</v>
      </c>
      <c r="BA359" s="82">
        <f>SUM(AI359:AY359)-AG359</f>
        <v>0</v>
      </c>
    </row>
    <row r="360" spans="1:54" x14ac:dyDescent="0.2">
      <c r="B360" s="693"/>
      <c r="C360" s="691"/>
      <c r="F360" s="98" t="s">
        <v>105</v>
      </c>
      <c r="I360" s="340"/>
      <c r="J360" s="236"/>
      <c r="K360" s="99"/>
      <c r="L360" s="236">
        <f>ROUND(L359/$J359,4)-0.0001</f>
        <v>0.48230000000000001</v>
      </c>
      <c r="M360" s="236"/>
      <c r="N360" s="236">
        <f>ROUND(N359/$J359,4)</f>
        <v>0.22850000000000001</v>
      </c>
      <c r="O360" s="236"/>
      <c r="P360" s="236">
        <f>ROUND(P359/$J359,4)</f>
        <v>2.47E-2</v>
      </c>
      <c r="Q360" s="236"/>
      <c r="R360" s="236">
        <f>ROUND(R359/$J359,4)</f>
        <v>5.1499999999999997E-2</v>
      </c>
      <c r="S360" s="236"/>
      <c r="T360" s="236">
        <f>ROUND(T359/$J359,4)</f>
        <v>1.5100000000000001E-2</v>
      </c>
      <c r="U360" s="236"/>
      <c r="V360" s="236">
        <f>ROUND(V359/$J359,4)</f>
        <v>8.8499999999999995E-2</v>
      </c>
      <c r="W360" s="236"/>
      <c r="X360" s="236">
        <f>ROUND(X359/$J359,4)</f>
        <v>0.1094</v>
      </c>
      <c r="Z360" s="236">
        <f>SUM(L360:X360)</f>
        <v>1</v>
      </c>
      <c r="AA360" s="82"/>
      <c r="AC360" s="98" t="s">
        <v>105</v>
      </c>
      <c r="AD360" s="56"/>
      <c r="AE360" s="63"/>
      <c r="AF360" s="53"/>
      <c r="AG360" s="99"/>
      <c r="AH360" s="99"/>
      <c r="AI360" s="102">
        <f>ROUND(AI359/$J359,4)</f>
        <v>0.24460000000000001</v>
      </c>
      <c r="AJ360" s="102"/>
      <c r="AK360" s="102">
        <f>ROUND(AK359/$J359,4)</f>
        <v>5.4000000000000003E-3</v>
      </c>
      <c r="AL360" s="102"/>
      <c r="AM360" s="102">
        <f>ROUND(AM359/$J359,4)</f>
        <v>0.35849999999999999</v>
      </c>
      <c r="AN360" s="102"/>
      <c r="AO360" s="102">
        <f>ROUND(AO359/$J359,4)</f>
        <v>4.4499999999999998E-2</v>
      </c>
      <c r="AP360" s="102"/>
      <c r="AQ360" s="102">
        <f>ROUND(AQ359/$J359,4)</f>
        <v>0.14910000000000001</v>
      </c>
      <c r="AR360" s="102"/>
      <c r="AS360" s="102">
        <f>ROUND(AS359/$J359,4)</f>
        <v>0</v>
      </c>
      <c r="AT360" s="102"/>
      <c r="AU360" s="102">
        <f>ROUND(AU359/$J359,4)</f>
        <v>0</v>
      </c>
      <c r="AV360" s="102"/>
      <c r="AW360" s="102">
        <f>ROUND(AW359/$J359,4)</f>
        <v>8.8499999999999995E-2</v>
      </c>
      <c r="AX360" s="102"/>
      <c r="AY360" s="102">
        <f>ROUND(AY359/$J359,4)</f>
        <v>0.1094</v>
      </c>
      <c r="AZ360" s="103"/>
      <c r="BA360" s="102">
        <f>SUM(AI360:AY360)</f>
        <v>1</v>
      </c>
    </row>
    <row r="361" spans="1:54" x14ac:dyDescent="0.2">
      <c r="B361" s="693"/>
      <c r="C361" s="691"/>
      <c r="F361" s="98" t="s">
        <v>109</v>
      </c>
      <c r="I361" s="340"/>
      <c r="J361" s="67">
        <f>+J29-J26-J27-J14-J15+J65-J36-J37+J104+J122+J23-J43</f>
        <v>14217278.486304088</v>
      </c>
      <c r="K361" s="340"/>
      <c r="L361" s="67">
        <f t="shared" ref="L361" si="363">+L29-L26-L27-L14-L15+L65-L36-L37+L104+L122+L23-L43</f>
        <v>9152538.1924542431</v>
      </c>
      <c r="M361" s="340"/>
      <c r="N361" s="67">
        <f t="shared" ref="N361" si="364">+N29-N26-N27-N14-N15+N65-N36-N37+N104+N122+N23-N43</f>
        <v>3013483.1089469055</v>
      </c>
      <c r="O361" s="340"/>
      <c r="P361" s="67">
        <f t="shared" ref="P361" si="365">+P29-P26-P27-P14-P15+P65-P36-P37+P104+P122+P23-P43</f>
        <v>337352.52082946262</v>
      </c>
      <c r="Q361" s="340"/>
      <c r="R361" s="67">
        <f t="shared" ref="R361" si="366">+R29-R26-R27-R14-R15+R65-R36-R37+R104+R122+R23-R43</f>
        <v>727680.18416544795</v>
      </c>
      <c r="S361" s="340"/>
      <c r="T361" s="67">
        <f t="shared" ref="T361" si="367">+T29-T26-T27-T14-T15+T65-T36-T37+T104+T122+T23-T43</f>
        <v>224006.67093437276</v>
      </c>
      <c r="U361" s="340"/>
      <c r="V361" s="67">
        <f t="shared" ref="V361" si="368">+V29-V26-V27-V14-V15+V65-V36-V37+V104+V122+V23-V43</f>
        <v>400006.870835596</v>
      </c>
      <c r="W361" s="340"/>
      <c r="X361" s="67">
        <f t="shared" ref="X361" si="369">+X29-X26-X27-X14-X15+X65-X36-X37+X104+X122+X23-X43</f>
        <v>362210.93813805585</v>
      </c>
      <c r="Z361" s="82">
        <f>SUM(L361:X361)-J361</f>
        <v>0</v>
      </c>
      <c r="AA361" s="82"/>
      <c r="AC361" s="98" t="s">
        <v>109</v>
      </c>
      <c r="AD361" s="56"/>
      <c r="AE361" s="63"/>
      <c r="AF361" s="53"/>
      <c r="AG361" s="67">
        <f>+AG29-AG26-AG27-AG14-AG15+AG65-AG36-AG37+AG104+AG122+AG23-AG43</f>
        <v>14217278.486304088</v>
      </c>
      <c r="AH361" s="53"/>
      <c r="AI361" s="67">
        <f t="shared" ref="AI361" si="370">+AI29-AI26-AI27-AI14-AI15+AI65-AI36-AI37+AI104+AI122+AI23-AI43</f>
        <v>3810149.6038870714</v>
      </c>
      <c r="AJ361" s="53"/>
      <c r="AK361" s="67">
        <f t="shared" ref="AK361" si="371">+AK29-AK26-AK27-AK14-AK15+AK65-AK36-AK37+AK104+AK122+AK23-AK43</f>
        <v>2275280.9063682291</v>
      </c>
      <c r="AL361" s="53"/>
      <c r="AM361" s="67">
        <f t="shared" ref="AM361" si="372">+AM29-AM26-AM27-AM14-AM15+AM65-AM36-AM37+AM104+AM122+AM23-AM43</f>
        <v>1201308.1263618616</v>
      </c>
      <c r="AN361" s="53"/>
      <c r="AO361" s="67">
        <f t="shared" ref="AO361" si="373">+AO29-AO26-AO27-AO14-AO15+AO65-AO36-AO37+AO104+AO122+AO23-AO43</f>
        <v>2437148.2233173014</v>
      </c>
      <c r="AP361" s="53"/>
      <c r="AQ361" s="67">
        <f t="shared" ref="AQ361" si="374">+AQ29-AQ26-AQ27-AQ14-AQ15+AQ65-AQ36-AQ37+AQ104+AQ122+AQ23-AQ43</f>
        <v>462023.04885073804</v>
      </c>
      <c r="AR361" s="53"/>
      <c r="AS361" s="67">
        <f t="shared" ref="AS361" si="375">+AS29-AS26-AS27-AS14-AS15+AS65-AS36-AS37+AS104+AS122+AS23-AS43</f>
        <v>2314399.5161213251</v>
      </c>
      <c r="AT361" s="53"/>
      <c r="AU361" s="67">
        <f t="shared" ref="AU361" si="376">+AU29-AU26-AU27-AU14-AU15+AU65-AU36-AU37+AU104+AU122+AU23-AU43</f>
        <v>986931.7330452376</v>
      </c>
      <c r="AV361" s="53"/>
      <c r="AW361" s="67">
        <f t="shared" ref="AW361" si="377">+AW29-AW26-AW27-AW14-AW15+AW65-AW36-AW37+AW104+AW122+AW23-AW43</f>
        <v>367826.39021426818</v>
      </c>
      <c r="AX361" s="53"/>
      <c r="AY361" s="67">
        <f t="shared" ref="AY361" si="378">+AY29-AY26-AY27-AY14-AY15+AY65-AY36-AY37+AY104+AY122+AY23-AY43</f>
        <v>362210.93813805585</v>
      </c>
      <c r="AZ361" s="53"/>
      <c r="BA361" s="82">
        <f>SUM(AI361:AY361)-AG361</f>
        <v>0</v>
      </c>
      <c r="BB361" s="67"/>
    </row>
    <row r="362" spans="1:54" x14ac:dyDescent="0.2">
      <c r="B362" s="693"/>
      <c r="C362" s="691"/>
      <c r="F362" s="98" t="s">
        <v>106</v>
      </c>
      <c r="I362" s="340"/>
      <c r="J362" s="67"/>
      <c r="L362" s="236">
        <f>ROUND(L361/$J361,4)-0.0001</f>
        <v>0.64370000000000005</v>
      </c>
      <c r="M362" s="236"/>
      <c r="N362" s="236">
        <f>ROUND(N361/$J361,4)</f>
        <v>0.21199999999999999</v>
      </c>
      <c r="O362" s="236"/>
      <c r="P362" s="236">
        <f>ROUND(P361/$J361,4)</f>
        <v>2.3699999999999999E-2</v>
      </c>
      <c r="Q362" s="236"/>
      <c r="R362" s="236">
        <f>ROUND(R361/$J361,4)</f>
        <v>5.1200000000000002E-2</v>
      </c>
      <c r="S362" s="236"/>
      <c r="T362" s="236">
        <f>ROUND(T361/$J361,4)</f>
        <v>1.5800000000000002E-2</v>
      </c>
      <c r="U362" s="236"/>
      <c r="V362" s="236">
        <f>ROUND(V361/$J361,4)</f>
        <v>2.81E-2</v>
      </c>
      <c r="W362" s="236"/>
      <c r="X362" s="236">
        <f>ROUND(X361/$J361,4)</f>
        <v>2.5499999999999998E-2</v>
      </c>
      <c r="Z362" s="236">
        <f>SUM(L362:X362)</f>
        <v>1</v>
      </c>
      <c r="AA362" s="82"/>
      <c r="AC362" s="98" t="s">
        <v>106</v>
      </c>
      <c r="AD362" s="56"/>
      <c r="AE362" s="63"/>
      <c r="AF362" s="53"/>
      <c r="AG362" s="67"/>
      <c r="AH362" s="53"/>
      <c r="AI362" s="102">
        <f>ROUND(AI361/$J361,4)</f>
        <v>0.26800000000000002</v>
      </c>
      <c r="AJ362" s="102"/>
      <c r="AK362" s="102">
        <f>ROUND(AK361/$J361,4)</f>
        <v>0.16</v>
      </c>
      <c r="AL362" s="102"/>
      <c r="AM362" s="102">
        <f>ROUND(AM361/$J361,4)</f>
        <v>8.4500000000000006E-2</v>
      </c>
      <c r="AN362" s="102"/>
      <c r="AO362" s="102">
        <f>ROUND(AO361/$J361,4)</f>
        <v>0.1714</v>
      </c>
      <c r="AP362" s="102"/>
      <c r="AQ362" s="102">
        <f>ROUND(AQ361/$J361,4)</f>
        <v>3.2500000000000001E-2</v>
      </c>
      <c r="AR362" s="102"/>
      <c r="AS362" s="102">
        <f>ROUND(AS361/$J361,4)</f>
        <v>0.1628</v>
      </c>
      <c r="AT362" s="102"/>
      <c r="AU362" s="102">
        <f>ROUND(AU361/$J361,4)</f>
        <v>6.9400000000000003E-2</v>
      </c>
      <c r="AV362" s="102"/>
      <c r="AW362" s="102">
        <f>ROUND(AW361/$J361,4)</f>
        <v>2.5899999999999999E-2</v>
      </c>
      <c r="AX362" s="102"/>
      <c r="AY362" s="102">
        <f>ROUND(AY361/$J361,4)</f>
        <v>2.5499999999999998E-2</v>
      </c>
      <c r="AZ362" s="103"/>
      <c r="BA362" s="102">
        <f>SUM(AI362:AY362)</f>
        <v>1</v>
      </c>
    </row>
    <row r="363" spans="1:54" x14ac:dyDescent="0.2">
      <c r="B363" s="693"/>
      <c r="C363" s="691"/>
      <c r="F363" s="98" t="s">
        <v>5</v>
      </c>
      <c r="I363" s="340"/>
      <c r="J363" s="67">
        <f>+J23+J29+J65+J104+J122+SUM(J127:J141)+SUM(J143:J159)</f>
        <v>37578503.646303073</v>
      </c>
      <c r="K363" s="340"/>
      <c r="L363" s="67">
        <f>+L23+L29+L65+L104+L122+SUM(L127:L141)+SUM(L143:L159)</f>
        <v>23291858.122464225</v>
      </c>
      <c r="M363" s="340"/>
      <c r="N363" s="67">
        <f>+N23+N29+N65+N104+N122+SUM(N127:N141)+SUM(N143:N159)</f>
        <v>8671330.4386803731</v>
      </c>
      <c r="O363" s="340"/>
      <c r="P363" s="67">
        <f>+P23+P29+P65+P104+P122+SUM(P127:P141)+SUM(P143:P159)</f>
        <v>1091520.1206185431</v>
      </c>
      <c r="Q363" s="340"/>
      <c r="R363" s="67">
        <f>+R23+R29+R65+R104+R122+SUM(R127:R141)+SUM(R143:R159)</f>
        <v>2255703.0253652064</v>
      </c>
      <c r="S363" s="340"/>
      <c r="T363" s="67">
        <f>+T23+T29+T65+T104+T122+SUM(T127:T141)+SUM(T143:T159)</f>
        <v>736960.92375204957</v>
      </c>
      <c r="U363" s="340"/>
      <c r="V363" s="67">
        <f>+V23+V29+V65+V104+V122+SUM(V127:V141)+SUM(V143:V159)</f>
        <v>815312.68447500339</v>
      </c>
      <c r="W363" s="340"/>
      <c r="X363" s="67">
        <f>+X23+X29+X65+X104+X122+SUM(X127:X141)+SUM(X143:X159)</f>
        <v>715818.33094766678</v>
      </c>
      <c r="Z363" s="82">
        <f>SUM(L363:X363)-J363</f>
        <v>0</v>
      </c>
      <c r="AA363" s="82"/>
      <c r="AC363" s="98" t="s">
        <v>5</v>
      </c>
      <c r="AD363" s="56"/>
      <c r="AE363" s="63"/>
      <c r="AF363" s="53"/>
      <c r="AG363" s="67">
        <f>+AG23+AG29+AG65+AG104+AG122+SUM(AG127:AG141)+SUM(AG143:AG159)</f>
        <v>37578503.646303073</v>
      </c>
      <c r="AH363" s="53"/>
      <c r="AI363" s="67">
        <f t="shared" ref="AI363" si="379">+AI23+AI29+AI65+AI104+AI122+SUM(AI127:AI141)+SUM(AI143:AI159)</f>
        <v>15498048.210964359</v>
      </c>
      <c r="AJ363" s="53"/>
      <c r="AK363" s="67">
        <f t="shared" ref="AK363" si="380">+AK23+AK29+AK65+AK104+AK122+SUM(AK127:AK141)+SUM(AK143:AK159)</f>
        <v>4670030.6778719937</v>
      </c>
      <c r="AL363" s="53"/>
      <c r="AM363" s="67">
        <f t="shared" ref="AM363" si="381">+AM23+AM29+AM65+AM104+AM122+SUM(AM127:AM141)+SUM(AM143:AM159)</f>
        <v>2240069.2781670382</v>
      </c>
      <c r="AN363" s="53"/>
      <c r="AO363" s="67">
        <f t="shared" ref="AO363" si="382">+AO23+AO29+AO65+AO104+AO122+SUM(AO127:AO141)+SUM(AO143:AO159)</f>
        <v>4967087.9102290431</v>
      </c>
      <c r="AP363" s="53"/>
      <c r="AQ363" s="67">
        <f t="shared" ref="AQ363" si="383">+AQ23+AQ29+AQ65+AQ104+AQ122+SUM(AQ127:AQ141)+SUM(AQ143:AQ159)</f>
        <v>960829.17022265238</v>
      </c>
      <c r="AR363" s="53"/>
      <c r="AS363" s="67">
        <f t="shared" ref="AS363" si="384">+AS23+AS29+AS65+AS104+AS122+SUM(AS127:AS141)+SUM(AS143:AS159)</f>
        <v>6140733.8204268413</v>
      </c>
      <c r="AT363" s="53"/>
      <c r="AU363" s="67">
        <f t="shared" ref="AU363" si="385">+AU23+AU29+AU65+AU104+AU122+SUM(AU127:AU141)+SUM(AU143:AU159)</f>
        <v>1626768.8372280204</v>
      </c>
      <c r="AV363" s="53"/>
      <c r="AW363" s="67">
        <f t="shared" ref="AW363" si="386">+AW23+AW29+AW65+AW104+AW122+SUM(AW127:AW141)+SUM(AW143:AW159)</f>
        <v>759113.86964545655</v>
      </c>
      <c r="AX363" s="53"/>
      <c r="AY363" s="67">
        <f t="shared" ref="AY363" si="387">+AY23+AY29+AY65+AY104+AY122+SUM(AY127:AY141)+SUM(AY143:AY159)</f>
        <v>715821.87154766673</v>
      </c>
      <c r="AZ363" s="103"/>
      <c r="BA363" s="82">
        <f>SUM(AI363:AY363)-AG363</f>
        <v>0</v>
      </c>
    </row>
    <row r="364" spans="1:54" x14ac:dyDescent="0.2">
      <c r="B364" s="693"/>
      <c r="C364" s="691"/>
      <c r="F364" s="98" t="s">
        <v>6</v>
      </c>
      <c r="I364" s="340"/>
      <c r="J364" s="67"/>
      <c r="L364" s="236">
        <f>+ROUND(L363/$J$363,4)+0.0001</f>
        <v>0.61990000000000001</v>
      </c>
      <c r="M364" s="340"/>
      <c r="N364" s="236">
        <f>+ROUND(N363/$J$363,4)</f>
        <v>0.23080000000000001</v>
      </c>
      <c r="O364" s="340"/>
      <c r="P364" s="236">
        <f>+ROUND(P363/$J$363,4)</f>
        <v>2.9000000000000001E-2</v>
      </c>
      <c r="Q364" s="340"/>
      <c r="R364" s="236">
        <f>+ROUND(R363/$J$363,4)</f>
        <v>0.06</v>
      </c>
      <c r="S364" s="340"/>
      <c r="T364" s="236">
        <f>+ROUND(T363/$J$363,4)</f>
        <v>1.9599999999999999E-2</v>
      </c>
      <c r="U364" s="340"/>
      <c r="V364" s="236">
        <f>+ROUND(V363/$J$363,4)</f>
        <v>2.1700000000000001E-2</v>
      </c>
      <c r="W364" s="340"/>
      <c r="X364" s="236">
        <f>+ROUND(X363/$J$363,4)</f>
        <v>1.9E-2</v>
      </c>
      <c r="Z364" s="236">
        <f>SUM(L364:X364)</f>
        <v>1</v>
      </c>
      <c r="AA364" s="82"/>
      <c r="AC364" s="98" t="s">
        <v>6</v>
      </c>
      <c r="AD364" s="56"/>
      <c r="AE364" s="63"/>
      <c r="AF364" s="53"/>
      <c r="AG364" s="67"/>
      <c r="AH364" s="53"/>
      <c r="AI364" s="102">
        <f>+ROUND(AI363/$AG$363,4)-0.0001</f>
        <v>0.4123</v>
      </c>
      <c r="AJ364" s="53"/>
      <c r="AK364" s="102">
        <f>+ROUND(AK363/$AG$363,4)</f>
        <v>0.12429999999999999</v>
      </c>
      <c r="AL364" s="53"/>
      <c r="AM364" s="102">
        <f>+ROUND(AM363/$AG$363,4)</f>
        <v>5.96E-2</v>
      </c>
      <c r="AN364" s="53"/>
      <c r="AO364" s="102">
        <f>+ROUND(AO363/$AG$363,4)</f>
        <v>0.13220000000000001</v>
      </c>
      <c r="AP364" s="53"/>
      <c r="AQ364" s="102">
        <f>+ROUND(AQ363/$AG$363,4)</f>
        <v>2.5600000000000001E-2</v>
      </c>
      <c r="AR364" s="53"/>
      <c r="AS364" s="102">
        <f>+ROUND(AS363/$AG$363,4)</f>
        <v>0.16339999999999999</v>
      </c>
      <c r="AT364" s="53"/>
      <c r="AU364" s="102">
        <f>+ROUND(AU363/$AG$363,4)+0.0001</f>
        <v>4.3400000000000001E-2</v>
      </c>
      <c r="AV364" s="53"/>
      <c r="AW364" s="102">
        <f>+ROUND(AW363/$AG$363,4)</f>
        <v>2.0199999999999999E-2</v>
      </c>
      <c r="AX364" s="53"/>
      <c r="AY364" s="102">
        <f>+ROUND(AY363/$AG$363,4)</f>
        <v>1.9E-2</v>
      </c>
      <c r="AZ364" s="103"/>
      <c r="BA364" s="102">
        <f>SUM(AI364:AY364)</f>
        <v>0.99999999999999989</v>
      </c>
    </row>
    <row r="365" spans="1:54" s="278" customFormat="1" x14ac:dyDescent="0.2">
      <c r="A365" s="551"/>
      <c r="B365" s="693"/>
      <c r="C365" s="691"/>
      <c r="D365" s="273"/>
      <c r="E365" s="94"/>
      <c r="F365" s="98" t="s">
        <v>110</v>
      </c>
      <c r="G365" s="56"/>
      <c r="H365" s="64"/>
      <c r="I365" s="340"/>
      <c r="J365" s="94">
        <f>+J34+J35+J57+J58+J69+J70+SUM(J90:J96)+J107+J109+J127+J72+J74+J73</f>
        <v>7802449.0000000019</v>
      </c>
      <c r="K365" s="340"/>
      <c r="L365" s="94">
        <f t="shared" ref="L365" si="388">+L34+L35+L57+L58+L69+L70+SUM(L90:L96)+L107+L109+L127+L72+L74+L73</f>
        <v>4802143.2749740444</v>
      </c>
      <c r="M365" s="340"/>
      <c r="N365" s="94">
        <f t="shared" ref="N365" si="389">+N34+N35+N57+N58+N69+N70+SUM(N90:N96)+N107+N109+N127+N72+N74+N73</f>
        <v>1845994.8281939593</v>
      </c>
      <c r="O365" s="340"/>
      <c r="P365" s="94">
        <f t="shared" ref="P365" si="390">+P34+P35+P57+P58+P69+P70+SUM(P90:P96)+P107+P109+P127+P72+P74+P73</f>
        <v>218708.85488792814</v>
      </c>
      <c r="Q365" s="340"/>
      <c r="R365" s="94">
        <f t="shared" ref="R365" si="391">+R34+R35+R57+R58+R69+R70+SUM(R90:R96)+R107+R109+R127+R72+R74+R73</f>
        <v>476086.35408392537</v>
      </c>
      <c r="S365" s="340"/>
      <c r="T365" s="94">
        <f t="shared" ref="T365" si="392">+T34+T35+T57+T58+T69+T70+SUM(T90:T96)+T107+T109+T127+T72+T74+T73</f>
        <v>146914.27686266135</v>
      </c>
      <c r="U365" s="340"/>
      <c r="V365" s="94">
        <f t="shared" ref="V365" si="393">+V34+V35+V57+V58+V69+V70+SUM(V90:V96)+V107+V109+V127+V72+V74+V73</f>
        <v>150428.39827466148</v>
      </c>
      <c r="W365" s="340"/>
      <c r="X365" s="94">
        <f t="shared" ref="X365" si="394">+X34+X35+X57+X58+X69+X70+SUM(X90:X96)+X107+X109+X127+X72+X74+X73</f>
        <v>162173.01272282092</v>
      </c>
      <c r="Y365" s="340"/>
      <c r="Z365" s="82">
        <f>SUM(L365:X365)-J365</f>
        <v>0</v>
      </c>
      <c r="AA365" s="82"/>
      <c r="AC365" s="98" t="s">
        <v>110</v>
      </c>
      <c r="AD365" s="56"/>
      <c r="AE365" s="64"/>
      <c r="AG365" s="94">
        <f>+AG34+AG35+AG57+AG58+AG69+AG70+SUM(AG90:AG96)+AG107+AG109+AG127+AG72+AG74+AG73</f>
        <v>7802449.0000000019</v>
      </c>
      <c r="AH365" s="340"/>
      <c r="AI365" s="94">
        <f t="shared" ref="AI365" si="395">+AI34+AI35+AI57+AI58+AI69+AI70+SUM(AI90:AI96)+AI107+AI109+AI127+AI72+AI74+AI73</f>
        <v>2541177.3043224388</v>
      </c>
      <c r="AJ365" s="340"/>
      <c r="AK365" s="94">
        <f t="shared" ref="AK365" si="396">+AK34+AK35+AK57+AK58+AK69+AK70+SUM(AK90:AK96)+AK107+AK109+AK127+AK72+AK74+AK73</f>
        <v>1696940.3719875871</v>
      </c>
      <c r="AL365" s="340"/>
      <c r="AM365" s="94">
        <f t="shared" ref="AM365" si="397">+AM34+AM35+AM57+AM58+AM69+AM70+SUM(AM90:AM96)+AM107+AM109+AM127+AM72+AM74+AM73</f>
        <v>442448.55509960093</v>
      </c>
      <c r="AN365" s="340"/>
      <c r="AO365" s="94">
        <f t="shared" ref="AO365" si="398">+AO34+AO35+AO57+AO58+AO69+AO70+SUM(AO90:AO96)+AO107+AO109+AO127+AO72+AO74+AO73</f>
        <v>1744433.4628634835</v>
      </c>
      <c r="AP365" s="340"/>
      <c r="AQ365" s="94">
        <f t="shared" ref="AQ365" si="399">+AQ34+AQ35+AQ57+AQ58+AQ69+AQ70+SUM(AQ90:AQ96)+AQ107+AQ109+AQ127+AQ72+AQ74+AQ73</f>
        <v>369005.59977472114</v>
      </c>
      <c r="AR365" s="340"/>
      <c r="AS365" s="94">
        <f t="shared" ref="AS365" si="400">+AS34+AS35+AS57+AS58+AS69+AS70+SUM(AS90:AS96)+AS107+AS109+AS127+AS72+AS74+AS73</f>
        <v>764647.00790053897</v>
      </c>
      <c r="AT365" s="340"/>
      <c r="AU365" s="94">
        <f t="shared" ref="AU365" si="401">+AU34+AU35+AU57+AU58+AU69+AU70+SUM(AU90:AU96)+AU107+AU109+AU127+AU72+AU74+AU73</f>
        <v>-63813.910882325355</v>
      </c>
      <c r="AV365" s="340"/>
      <c r="AW365" s="94">
        <f t="shared" ref="AW365" si="402">+AW34+AW35+AW57+AW58+AW69+AW70+SUM(AW90:AW96)+AW107+AW109+AW127+AW72+AW74+AW73</f>
        <v>145437.59621113303</v>
      </c>
      <c r="AX365" s="340"/>
      <c r="AY365" s="94">
        <f t="shared" ref="AY365" si="403">+AY34+AY35+AY57+AY58+AY69+AY70+SUM(AY90:AY96)+AY107+AY109+AY127+AY72+AY74+AY73</f>
        <v>162173.01272282092</v>
      </c>
      <c r="BA365" s="82">
        <f>SUM(AI365:AY365)-AG365</f>
        <v>0</v>
      </c>
    </row>
    <row r="366" spans="1:54" s="278" customFormat="1" x14ac:dyDescent="0.2">
      <c r="A366" s="551"/>
      <c r="B366" s="693"/>
      <c r="C366" s="691"/>
      <c r="D366" s="273"/>
      <c r="E366" s="94"/>
      <c r="F366" s="98" t="s">
        <v>111</v>
      </c>
      <c r="G366" s="56"/>
      <c r="H366" s="64"/>
      <c r="I366" s="340"/>
      <c r="J366" s="67"/>
      <c r="L366" s="236">
        <f>ROUND(L365/$J365,4)</f>
        <v>0.61550000000000005</v>
      </c>
      <c r="M366" s="236"/>
      <c r="N366" s="236">
        <f>ROUND(N365/$J365,4)</f>
        <v>0.2366</v>
      </c>
      <c r="O366" s="236"/>
      <c r="P366" s="236">
        <f>ROUND(P365/$J365,4)</f>
        <v>2.8000000000000001E-2</v>
      </c>
      <c r="Q366" s="236"/>
      <c r="R366" s="236">
        <f>ROUND(R365/$J365,4)</f>
        <v>6.0999999999999999E-2</v>
      </c>
      <c r="S366" s="236"/>
      <c r="T366" s="236">
        <f>ROUND(T365/$J365,4)</f>
        <v>1.8800000000000001E-2</v>
      </c>
      <c r="U366" s="236"/>
      <c r="V366" s="236">
        <f>ROUND(V365/$J365,4)</f>
        <v>1.9300000000000001E-2</v>
      </c>
      <c r="W366" s="236"/>
      <c r="X366" s="236">
        <f>ROUND(X365/$J365,4)</f>
        <v>2.0799999999999999E-2</v>
      </c>
      <c r="Y366" s="340"/>
      <c r="Z366" s="236">
        <f>SUM(L366:X366)</f>
        <v>1</v>
      </c>
      <c r="AA366" s="82"/>
      <c r="AC366" s="98" t="s">
        <v>111</v>
      </c>
      <c r="AD366" s="56"/>
      <c r="AE366" s="64"/>
      <c r="AG366" s="67"/>
      <c r="AI366" s="236">
        <f>ROUND(AI365/$J365,4)</f>
        <v>0.32569999999999999</v>
      </c>
      <c r="AJ366" s="236"/>
      <c r="AK366" s="236">
        <f>ROUND(AK365/$J365,4)</f>
        <v>0.2175</v>
      </c>
      <c r="AL366" s="236"/>
      <c r="AM366" s="236">
        <f>ROUND(AM365/$J365,4)</f>
        <v>5.67E-2</v>
      </c>
      <c r="AN366" s="236"/>
      <c r="AO366" s="236">
        <f>ROUND(AO365/$J365,4)</f>
        <v>0.22359999999999999</v>
      </c>
      <c r="AP366" s="236"/>
      <c r="AQ366" s="236">
        <f>ROUND(AQ365/$J365,4)</f>
        <v>4.7300000000000002E-2</v>
      </c>
      <c r="AR366" s="236"/>
      <c r="AS366" s="236">
        <f>ROUND(AS365/$J365,4)</f>
        <v>9.8000000000000004E-2</v>
      </c>
      <c r="AT366" s="236"/>
      <c r="AU366" s="236">
        <f>ROUND(AU365/$J365,4)</f>
        <v>-8.2000000000000007E-3</v>
      </c>
      <c r="AV366" s="236"/>
      <c r="AW366" s="236">
        <f>ROUND(AW365/$J365,4)</f>
        <v>1.8599999999999998E-2</v>
      </c>
      <c r="AX366" s="236"/>
      <c r="AY366" s="236">
        <f>ROUND(AY365/$J365,4)</f>
        <v>2.0799999999999999E-2</v>
      </c>
      <c r="BA366" s="236">
        <f>SUM(AI366:AY366)</f>
        <v>1</v>
      </c>
    </row>
    <row r="367" spans="1:54" x14ac:dyDescent="0.2">
      <c r="B367" s="693"/>
      <c r="C367" s="691"/>
      <c r="F367" s="98" t="s">
        <v>112</v>
      </c>
      <c r="I367" s="340"/>
      <c r="J367" s="67">
        <f>+SUM(J278:J323)+SUM(J331:J339)+J343+J344</f>
        <v>524907417.54690981</v>
      </c>
      <c r="L367" s="67">
        <f>+SUM(L278:L323)+SUM(L331:L339)+L343+L344</f>
        <v>265501057.20680383</v>
      </c>
      <c r="M367" s="340"/>
      <c r="N367" s="67">
        <f>+SUM(N278:N323)+SUM(N331:N339)+N343+N344</f>
        <v>144768698.8727392</v>
      </c>
      <c r="O367" s="340"/>
      <c r="P367" s="67">
        <f>+SUM(P278:P323)+SUM(P331:P339)+P343+P344</f>
        <v>15287755.428220788</v>
      </c>
      <c r="Q367" s="340"/>
      <c r="R367" s="67">
        <f>+SUM(R278:R323)+SUM(R331:R339)+R343+R344</f>
        <v>38157299.14979998</v>
      </c>
      <c r="S367" s="340"/>
      <c r="T367" s="67">
        <f>+SUM(T278:T323)+SUM(T331:T339)+T343+T344</f>
        <v>10192865.566234004</v>
      </c>
      <c r="U367" s="340"/>
      <c r="V367" s="67">
        <f>+SUM(V278:V323)+SUM(V331:V339)+V343+V344</f>
        <v>17183511.893443335</v>
      </c>
      <c r="W367" s="340"/>
      <c r="X367" s="67">
        <f>+SUM(X278:X323)+SUM(X331:X339)+X343+X344</f>
        <v>33816229.429668672</v>
      </c>
      <c r="Z367" s="82">
        <f>SUM(L367:X367)-J367</f>
        <v>0</v>
      </c>
      <c r="AA367" s="82"/>
      <c r="AC367" s="98" t="s">
        <v>112</v>
      </c>
      <c r="AD367" s="56"/>
      <c r="AE367" s="63"/>
      <c r="AF367" s="53"/>
      <c r="AG367" s="67">
        <f>+SUM(AG278:AG323)+SUM(AG331:AG339)+AG343+AG344</f>
        <v>524907417.54690981</v>
      </c>
      <c r="AH367" s="53"/>
      <c r="AI367" s="67">
        <f t="shared" ref="AI367" si="404">+SUM(AI278:AI323)+SUM(AI331:AI339)+AI343+AI344</f>
        <v>214062912.48089245</v>
      </c>
      <c r="AJ367" s="53"/>
      <c r="AK367" s="67">
        <f t="shared" ref="AK367" si="405">+SUM(AK278:AK323)+SUM(AK331:AK339)+AK343+AK344</f>
        <v>123193596.82495496</v>
      </c>
      <c r="AL367" s="53"/>
      <c r="AM367" s="67">
        <f t="shared" ref="AM367" si="406">+SUM(AM278:AM323)+SUM(AM331:AM339)+AM343+AM344</f>
        <v>75404405.877751902</v>
      </c>
      <c r="AN367" s="53"/>
      <c r="AO367" s="67">
        <f t="shared" ref="AO367" si="407">+SUM(AO278:AO323)+SUM(AO331:AO339)+AO343+AO344</f>
        <v>41491231.461766504</v>
      </c>
      <c r="AP367" s="53"/>
      <c r="AQ367" s="67">
        <f t="shared" ref="AQ367" si="408">+SUM(AQ278:AQ323)+SUM(AQ331:AQ339)+AQ343+AQ344</f>
        <v>9765558.1602889076</v>
      </c>
      <c r="AR367" s="53"/>
      <c r="AS367" s="67">
        <f t="shared" ref="AS367" si="409">+SUM(AS278:AS323)+SUM(AS331:AS339)+AS343+AS344</f>
        <v>7718076.8832251811</v>
      </c>
      <c r="AT367" s="53"/>
      <c r="AU367" s="67">
        <f t="shared" ref="AU367" si="410">+SUM(AU278:AU323)+SUM(AU331:AU339)+AU343+AU344</f>
        <v>2746279.718274869</v>
      </c>
      <c r="AV367" s="53"/>
      <c r="AW367" s="67">
        <f t="shared" ref="AW367" si="411">+SUM(AW278:AW323)+SUM(AW331:AW339)+AW343+AW344</f>
        <v>16908531.605908982</v>
      </c>
      <c r="AX367" s="53"/>
      <c r="AY367" s="67">
        <f t="shared" ref="AY367" si="412">+SUM(AY278:AY323)+SUM(AY331:AY339)+AY343+AY344</f>
        <v>33616824.533846073</v>
      </c>
      <c r="BA367" s="82">
        <f>SUM(AI367:AY367)-AG367</f>
        <v>0</v>
      </c>
    </row>
    <row r="368" spans="1:54" x14ac:dyDescent="0.2">
      <c r="B368" s="693"/>
      <c r="C368" s="691"/>
      <c r="F368" s="98" t="s">
        <v>113</v>
      </c>
      <c r="I368" s="340"/>
      <c r="J368" s="67"/>
      <c r="L368" s="236">
        <f>ROUND(L367/$J367,4)+0.0001</f>
        <v>0.50590000000000002</v>
      </c>
      <c r="M368" s="236"/>
      <c r="N368" s="236">
        <f>ROUND(N367/$J367,4)</f>
        <v>0.27579999999999999</v>
      </c>
      <c r="O368" s="236"/>
      <c r="P368" s="236">
        <f>ROUND(P367/$J367,4)</f>
        <v>2.9100000000000001E-2</v>
      </c>
      <c r="Q368" s="236"/>
      <c r="R368" s="236">
        <f>ROUND(R367/$J367,4)</f>
        <v>7.2700000000000001E-2</v>
      </c>
      <c r="S368" s="236"/>
      <c r="T368" s="236">
        <f>ROUND(T367/$J367,4)</f>
        <v>1.9400000000000001E-2</v>
      </c>
      <c r="U368" s="236"/>
      <c r="V368" s="236">
        <f>ROUND(V367/$J367,4)</f>
        <v>3.27E-2</v>
      </c>
      <c r="W368" s="236"/>
      <c r="X368" s="236">
        <f>ROUND(X367/$J367,4)</f>
        <v>6.4399999999999999E-2</v>
      </c>
      <c r="Z368" s="236">
        <f>SUM(L368:X368)</f>
        <v>1</v>
      </c>
      <c r="AA368" s="82"/>
      <c r="AC368" s="98" t="s">
        <v>113</v>
      </c>
      <c r="AD368" s="56"/>
      <c r="AE368" s="63"/>
      <c r="AF368" s="53"/>
      <c r="AG368" s="67"/>
      <c r="AH368" s="53"/>
      <c r="AI368" s="102">
        <f>ROUND(AI367/$J367,4)+0.0001</f>
        <v>0.40789999999999998</v>
      </c>
      <c r="AJ368" s="102"/>
      <c r="AK368" s="102">
        <f>ROUND(AK367/$J367,4)</f>
        <v>0.23469999999999999</v>
      </c>
      <c r="AL368" s="102"/>
      <c r="AM368" s="102">
        <f>ROUND(AM367/$J367,4)</f>
        <v>0.14369999999999999</v>
      </c>
      <c r="AN368" s="102"/>
      <c r="AO368" s="102">
        <f>ROUND(AO367/$J367,4)</f>
        <v>7.9000000000000001E-2</v>
      </c>
      <c r="AP368" s="102"/>
      <c r="AQ368" s="102">
        <f>ROUND(AQ367/$J367,4)</f>
        <v>1.8599999999999998E-2</v>
      </c>
      <c r="AR368" s="102"/>
      <c r="AS368" s="102">
        <f>ROUND(AS367/$J367,4)</f>
        <v>1.47E-2</v>
      </c>
      <c r="AT368" s="102"/>
      <c r="AU368" s="102">
        <f>ROUND(AU367/$J367,4)</f>
        <v>5.1999999999999998E-3</v>
      </c>
      <c r="AV368" s="102"/>
      <c r="AW368" s="102">
        <f>ROUND(AW367/$J367,4)</f>
        <v>3.2199999999999999E-2</v>
      </c>
      <c r="AX368" s="102"/>
      <c r="AY368" s="102">
        <f>ROUND(AY367/$J367,4)</f>
        <v>6.4000000000000001E-2</v>
      </c>
      <c r="BA368" s="102">
        <f>SUM(AI368:AY368)</f>
        <v>1</v>
      </c>
    </row>
    <row r="369" spans="2:53" x14ac:dyDescent="0.2">
      <c r="B369" s="693"/>
      <c r="C369" s="691"/>
      <c r="F369" s="98" t="s">
        <v>115</v>
      </c>
      <c r="I369" s="340"/>
      <c r="J369" s="67">
        <f>+J349</f>
        <v>441111572.11700463</v>
      </c>
      <c r="L369" s="67">
        <f>+L349</f>
        <v>223628668.9498148</v>
      </c>
      <c r="M369" s="340"/>
      <c r="N369" s="67">
        <f>+N349</f>
        <v>121452569.19817136</v>
      </c>
      <c r="O369" s="340"/>
      <c r="P369" s="67">
        <f>+P349</f>
        <v>12848840.247310547</v>
      </c>
      <c r="Q369" s="340"/>
      <c r="R369" s="67">
        <f>+R349</f>
        <v>32007419.166745879</v>
      </c>
      <c r="S369" s="340"/>
      <c r="T369" s="67">
        <f>+T349</f>
        <v>8568138.3226938415</v>
      </c>
      <c r="U369" s="340"/>
      <c r="V369" s="67">
        <f>+V349</f>
        <v>14393219.06888544</v>
      </c>
      <c r="W369" s="340"/>
      <c r="X369" s="67">
        <f>+X349</f>
        <v>28212717.16338278</v>
      </c>
      <c r="Z369" s="82">
        <f>SUM(L369:X369)-J369</f>
        <v>0</v>
      </c>
      <c r="AA369" s="82"/>
      <c r="AC369" s="98" t="s">
        <v>115</v>
      </c>
      <c r="AD369" s="56"/>
      <c r="AE369" s="63"/>
      <c r="AF369" s="53"/>
      <c r="AG369" s="67">
        <f>+AG349</f>
        <v>441111572.11700463</v>
      </c>
      <c r="AH369" s="53"/>
      <c r="AI369" s="67">
        <f t="shared" ref="AI369" si="413">+AI349</f>
        <v>179989504.00046349</v>
      </c>
      <c r="AJ369" s="53"/>
      <c r="AK369" s="67">
        <f t="shared" ref="AK369" si="414">+AK349</f>
        <v>103059624.37136322</v>
      </c>
      <c r="AL369" s="53"/>
      <c r="AM369" s="67">
        <f t="shared" ref="AM369" si="415">+AM349</f>
        <v>62877819.911045574</v>
      </c>
      <c r="AN369" s="53"/>
      <c r="AO369" s="67">
        <f t="shared" ref="AO369" si="416">+AO349</f>
        <v>35108410.471964978</v>
      </c>
      <c r="AP369" s="53"/>
      <c r="AQ369" s="67">
        <f t="shared" ref="AQ369" si="417">+AQ349</f>
        <v>8239589.9329769909</v>
      </c>
      <c r="AR369" s="53"/>
      <c r="AS369" s="67">
        <f t="shared" ref="AS369" si="418">+AS349</f>
        <v>7180419.2101027956</v>
      </c>
      <c r="AT369" s="53"/>
      <c r="AU369" s="67">
        <f t="shared" ref="AU369" si="419">+AU349</f>
        <v>2537227.5884791026</v>
      </c>
      <c r="AV369" s="53"/>
      <c r="AW369" s="67">
        <f t="shared" ref="AW369" si="420">+AW349</f>
        <v>14127039.684022125</v>
      </c>
      <c r="AX369" s="53"/>
      <c r="AY369" s="67">
        <f t="shared" ref="AY369" si="421">+AY349</f>
        <v>27991936.946586479</v>
      </c>
      <c r="BA369" s="82">
        <f>SUM(AI369:AY369)-AG369</f>
        <v>0</v>
      </c>
    </row>
    <row r="370" spans="2:53" x14ac:dyDescent="0.2">
      <c r="B370" s="693"/>
      <c r="C370" s="691"/>
      <c r="F370" s="98" t="s">
        <v>114</v>
      </c>
      <c r="I370" s="340"/>
      <c r="J370" s="67"/>
      <c r="L370" s="236">
        <f>ROUND(L369/$J369,4)</f>
        <v>0.50700000000000001</v>
      </c>
      <c r="M370" s="236"/>
      <c r="N370" s="236">
        <f>ROUND(N369/$J369,4)</f>
        <v>0.27529999999999999</v>
      </c>
      <c r="O370" s="236"/>
      <c r="P370" s="236">
        <f>ROUND(P369/$J369,4)</f>
        <v>2.9100000000000001E-2</v>
      </c>
      <c r="Q370" s="236"/>
      <c r="R370" s="236">
        <f>ROUND(R369/$J369,4)</f>
        <v>7.2599999999999998E-2</v>
      </c>
      <c r="S370" s="236"/>
      <c r="T370" s="236">
        <f>ROUND(T369/$J369,4)</f>
        <v>1.9400000000000001E-2</v>
      </c>
      <c r="U370" s="236"/>
      <c r="V370" s="236">
        <f>ROUND(V369/$J369,4)</f>
        <v>3.2599999999999997E-2</v>
      </c>
      <c r="W370" s="236"/>
      <c r="X370" s="236">
        <f>ROUND(X369/$J369,4)</f>
        <v>6.4000000000000001E-2</v>
      </c>
      <c r="Z370" s="236">
        <f>SUM(L370:X370)</f>
        <v>1</v>
      </c>
      <c r="AA370" s="82"/>
      <c r="AC370" s="98" t="s">
        <v>114</v>
      </c>
      <c r="AD370" s="56"/>
      <c r="AE370" s="63"/>
      <c r="AF370" s="53"/>
      <c r="AG370" s="67"/>
      <c r="AH370" s="53"/>
      <c r="AI370" s="102">
        <f>ROUND(AI369/$J369,4)</f>
        <v>0.40799999999999997</v>
      </c>
      <c r="AJ370" s="102"/>
      <c r="AK370" s="102">
        <f>ROUND(AK369/$J369,4)</f>
        <v>0.2336</v>
      </c>
      <c r="AL370" s="102"/>
      <c r="AM370" s="102">
        <f>ROUND(AM369/$J369,4)</f>
        <v>0.14249999999999999</v>
      </c>
      <c r="AN370" s="102"/>
      <c r="AO370" s="102">
        <f>ROUND(AO369/$J369,4)</f>
        <v>7.9600000000000004E-2</v>
      </c>
      <c r="AP370" s="102"/>
      <c r="AQ370" s="102">
        <f>ROUND(AQ369/$J369,4)</f>
        <v>1.8700000000000001E-2</v>
      </c>
      <c r="AR370" s="102"/>
      <c r="AS370" s="102">
        <f>ROUND(AS369/$J369,4)</f>
        <v>1.6299999999999999E-2</v>
      </c>
      <c r="AT370" s="102"/>
      <c r="AU370" s="102">
        <f>ROUND(AU369/$J369,4)</f>
        <v>5.7999999999999996E-3</v>
      </c>
      <c r="AV370" s="102"/>
      <c r="AW370" s="102">
        <f>ROUND(AW369/$J369,4)</f>
        <v>3.2000000000000001E-2</v>
      </c>
      <c r="AX370" s="102"/>
      <c r="AY370" s="102">
        <f>ROUND(AY369/$J369,4)</f>
        <v>6.3500000000000001E-2</v>
      </c>
      <c r="BA370" s="102">
        <f>SUM(AI370:AY370)</f>
        <v>1</v>
      </c>
    </row>
    <row r="371" spans="2:53" x14ac:dyDescent="0.2">
      <c r="B371" s="693"/>
      <c r="C371" s="691"/>
      <c r="F371" s="98" t="s">
        <v>116</v>
      </c>
      <c r="I371" s="340"/>
      <c r="J371" s="94">
        <f>+J65+J104+J122+SUM(J127:J141)+SUM(J143:J159)+J231+J238+J241+J242+J245+J250+J253+J243+J29+J23</f>
        <v>107891707.69983602</v>
      </c>
      <c r="K371" s="340"/>
      <c r="L371" s="94">
        <f>+L65+L104+L122+SUM(L127:L141)+SUM(L143:L159)+L231+L238+L241+L242+L245+L250+L253+L243+L29+L23</f>
        <v>60116193.435764767</v>
      </c>
      <c r="M371" s="340"/>
      <c r="N371" s="94">
        <f>+N65+N104+N122+SUM(N127:N141)+SUM(N143:N159)+N231+N238+N241+N242+N245+N250+N253+N243+N29+N23</f>
        <v>27497820.362177007</v>
      </c>
      <c r="O371" s="340"/>
      <c r="P371" s="94">
        <f>+P65+P104+P122+SUM(P127:P141)+SUM(P143:P159)+P231+P238+P241+P242+P245+P250+P253+P243+P29+P23</f>
        <v>3106922.0056589032</v>
      </c>
      <c r="Q371" s="340"/>
      <c r="R371" s="94">
        <f>+R65+R104+R122+SUM(R127:R141)+SUM(R143:R159)+R231+R238+R241+R242+R245+R250+R253+R243+R29+R23</f>
        <v>7195961.2217231393</v>
      </c>
      <c r="S371" s="340"/>
      <c r="T371" s="94">
        <f>+T65+T104+T122+SUM(T127:T141)+SUM(T143:T159)+T231+T238+T241+T242+T245+T250+T253+T243+T29+T23</f>
        <v>2082818.1442608042</v>
      </c>
      <c r="U371" s="340"/>
      <c r="V371" s="94">
        <f>+V65+V104+V122+SUM(V127:V141)+SUM(V143:V159)+V231+V238+V241+V242+V245+V250+V253+V243+V29+V23</f>
        <v>2989376.7220733552</v>
      </c>
      <c r="W371" s="340"/>
      <c r="X371" s="94">
        <f>+X65+X104+X122+SUM(X127:X141)+SUM(X143:X159)+X231+X238+X241+X242+X245+X250+X253+X243+X29+X23</f>
        <v>4902615.8081780123</v>
      </c>
      <c r="Z371" s="82">
        <f>SUM(L371:X371)-J371</f>
        <v>0</v>
      </c>
      <c r="AA371" s="82"/>
      <c r="AC371" s="98" t="s">
        <v>116</v>
      </c>
      <c r="AD371" s="56"/>
      <c r="AE371" s="63"/>
      <c r="AF371" s="53"/>
      <c r="AG371" s="94">
        <f>+AG65+AG104+AG122+SUM(AG127:AG141)+SUM(AG143:AG159)+AG231+AG238+AG241+AG242+AG245+AG250+AG253+AG243+AG29+AG23</f>
        <v>107891707.69983602</v>
      </c>
      <c r="AH371" s="53"/>
      <c r="AI371" s="94">
        <f t="shared" ref="AI371" si="422">+AI65+AI104+AI122+SUM(AI127:AI141)+SUM(AI143:AI159)+AI231+AI238+AI241+AI242+AI245+AI250+AI253+AI243+AI29+AI23</f>
        <v>43085019.389186479</v>
      </c>
      <c r="AJ371" s="53"/>
      <c r="AK371" s="94">
        <f t="shared" ref="AK371" si="423">+AK65+AK104+AK122+SUM(AK127:AK141)+SUM(AK143:AK159)+AK231+AK238+AK241+AK242+AK245+AK250+AK253+AK243+AK29+AK23</f>
        <v>20822264.02958687</v>
      </c>
      <c r="AL371" s="53"/>
      <c r="AM371" s="94">
        <f t="shared" ref="AM371" si="424">+AM65+AM104+AM122+SUM(AM127:AM141)+SUM(AM143:AM159)+AM231+AM238+AM241+AM242+AM245+AM250+AM253+AM243+AM29+AM23</f>
        <v>11229209.706053082</v>
      </c>
      <c r="AN371" s="53"/>
      <c r="AO371" s="94">
        <f t="shared" ref="AO371" si="425">+AO65+AO104+AO122+SUM(AO127:AO141)+SUM(AO143:AO159)+AO231+AO238+AO241+AO242+AO245+AO250+AO253+AO243+AO29+AO23</f>
        <v>11877057.840914322</v>
      </c>
      <c r="AP371" s="53"/>
      <c r="AQ371" s="94">
        <f t="shared" ref="AQ371" si="426">+AQ65+AQ104+AQ122+SUM(AQ127:AQ141)+SUM(AQ143:AQ159)+AQ231+AQ238+AQ241+AQ242+AQ245+AQ250+AQ253+AQ243+AQ29+AQ23</f>
        <v>2870965.9689838463</v>
      </c>
      <c r="AR371" s="53"/>
      <c r="AS371" s="94">
        <f t="shared" ref="AS371" si="427">+AS65+AS104+AS122+SUM(AS127:AS141)+SUM(AS143:AS159)+AS231+AS238+AS241+AS242+AS245+AS250+AS253+AS243+AS29+AS23</f>
        <v>7971970.8840178354</v>
      </c>
      <c r="AT371" s="53"/>
      <c r="AU371" s="94">
        <f t="shared" ref="AU371" si="428">+AU65+AU104+AU122+SUM(AU127:AU141)+SUM(AU143:AU159)+AU231+AU238+AU241+AU242+AU245+AU250+AU253+AU243+AU29+AU23</f>
        <v>2275616.3445032458</v>
      </c>
      <c r="AV371" s="53"/>
      <c r="AW371" s="94">
        <f t="shared" ref="AW371" si="429">+AW65+AW104+AW122+SUM(AW127:AW141)+SUM(AW143:AW159)+AW231+AW238+AW241+AW242+AW245+AW250+AW253+AW243+AW29+AW23</f>
        <v>2886783.5373298349</v>
      </c>
      <c r="AX371" s="53"/>
      <c r="AY371" s="94">
        <f t="shared" ref="AY371" si="430">+AY65+AY104+AY122+SUM(AY127:AY141)+SUM(AY143:AY159)+AY231+AY238+AY241+AY242+AY245+AY250+AY253+AY243+AY29+AY23</f>
        <v>4872819.9992604824</v>
      </c>
      <c r="BA371" s="82">
        <f>SUM(AI371:AY371)-AG371</f>
        <v>0</v>
      </c>
    </row>
    <row r="372" spans="2:53" x14ac:dyDescent="0.2">
      <c r="B372" s="693"/>
      <c r="C372" s="691"/>
      <c r="F372" s="98" t="s">
        <v>117</v>
      </c>
      <c r="I372" s="340"/>
      <c r="J372" s="67"/>
      <c r="L372" s="236">
        <f>ROUND(L371/$J371,4)</f>
        <v>0.55720000000000003</v>
      </c>
      <c r="M372" s="236"/>
      <c r="N372" s="236">
        <f>ROUND(N371/$J371,4)</f>
        <v>0.25490000000000002</v>
      </c>
      <c r="O372" s="236"/>
      <c r="P372" s="236">
        <f>ROUND(P371/$J371,4)</f>
        <v>2.8799999999999999E-2</v>
      </c>
      <c r="Q372" s="236"/>
      <c r="R372" s="236">
        <f>ROUND(R371/$J371,4)</f>
        <v>6.6699999999999995E-2</v>
      </c>
      <c r="S372" s="236"/>
      <c r="T372" s="236">
        <f>ROUND(T371/$J371,4)</f>
        <v>1.9300000000000001E-2</v>
      </c>
      <c r="U372" s="236"/>
      <c r="V372" s="236">
        <f>ROUND(V371/$J371,4)</f>
        <v>2.7699999999999999E-2</v>
      </c>
      <c r="W372" s="236"/>
      <c r="X372" s="236">
        <f>ROUND(X371/$J371,4)</f>
        <v>4.5400000000000003E-2</v>
      </c>
      <c r="Z372" s="236">
        <f>SUM(L372:X372)</f>
        <v>1</v>
      </c>
      <c r="AA372" s="82"/>
      <c r="AC372" s="98" t="s">
        <v>117</v>
      </c>
      <c r="AD372" s="56"/>
      <c r="AE372" s="63"/>
      <c r="AF372" s="53"/>
      <c r="AG372" s="65"/>
      <c r="AH372" s="53"/>
      <c r="AI372" s="102">
        <f>ROUND(AI371/$J371,4)-0.0001</f>
        <v>0.3992</v>
      </c>
      <c r="AJ372" s="102"/>
      <c r="AK372" s="102">
        <f>ROUND(AK371/$J371,4)</f>
        <v>0.193</v>
      </c>
      <c r="AL372" s="102"/>
      <c r="AM372" s="102">
        <f>ROUND(AM371/$J371,4)</f>
        <v>0.1041</v>
      </c>
      <c r="AN372" s="102"/>
      <c r="AO372" s="102">
        <f>ROUND(AO371/$J371,4)</f>
        <v>0.1101</v>
      </c>
      <c r="AP372" s="102"/>
      <c r="AQ372" s="102">
        <f>ROUND(AQ371/$J371,4)</f>
        <v>2.6599999999999999E-2</v>
      </c>
      <c r="AR372" s="102"/>
      <c r="AS372" s="102">
        <f>ROUND(AS371/$J371,4)</f>
        <v>7.3899999999999993E-2</v>
      </c>
      <c r="AT372" s="102"/>
      <c r="AU372" s="102">
        <f>ROUND(AU371/$J371,4)</f>
        <v>2.1100000000000001E-2</v>
      </c>
      <c r="AV372" s="102"/>
      <c r="AW372" s="102">
        <f>ROUND(AW371/$J371,4)</f>
        <v>2.6800000000000001E-2</v>
      </c>
      <c r="AX372" s="102"/>
      <c r="AY372" s="102">
        <f>ROUND(AY371/$J371,4)</f>
        <v>4.5199999999999997E-2</v>
      </c>
      <c r="BA372" s="102">
        <f>SUM(AI372:AY372)</f>
        <v>1</v>
      </c>
    </row>
    <row r="373" spans="2:53" x14ac:dyDescent="0.2">
      <c r="B373" s="693"/>
      <c r="C373" s="691"/>
      <c r="F373" s="98"/>
      <c r="I373" s="340"/>
      <c r="J373" s="67"/>
      <c r="L373" s="236"/>
      <c r="M373" s="236"/>
      <c r="N373" s="236"/>
      <c r="O373" s="236"/>
      <c r="P373" s="236"/>
      <c r="Q373" s="236"/>
      <c r="R373" s="236"/>
      <c r="S373" s="236"/>
      <c r="T373" s="236"/>
      <c r="U373" s="236"/>
      <c r="V373" s="236"/>
      <c r="W373" s="236"/>
      <c r="X373" s="236"/>
      <c r="Z373" s="236"/>
      <c r="AA373" s="82"/>
    </row>
    <row r="374" spans="2:53" x14ac:dyDescent="0.2">
      <c r="B374" s="693"/>
      <c r="C374" s="691"/>
      <c r="F374" s="98"/>
      <c r="I374" s="340"/>
      <c r="J374" s="67"/>
      <c r="L374" s="236"/>
      <c r="M374" s="236"/>
      <c r="N374" s="236"/>
      <c r="O374" s="236"/>
      <c r="P374" s="236"/>
      <c r="Q374" s="236"/>
      <c r="R374" s="236"/>
      <c r="S374" s="236"/>
      <c r="T374" s="236"/>
      <c r="U374" s="236"/>
      <c r="V374" s="236"/>
      <c r="W374" s="236"/>
      <c r="X374" s="236"/>
      <c r="Z374" s="236"/>
      <c r="AA374" s="82"/>
    </row>
    <row r="375" spans="2:53" x14ac:dyDescent="0.2">
      <c r="B375" s="693"/>
      <c r="C375" s="691"/>
      <c r="F375" s="98"/>
      <c r="I375" s="340"/>
      <c r="J375" s="67"/>
      <c r="L375" s="236"/>
      <c r="M375" s="236"/>
      <c r="N375" s="236"/>
      <c r="O375" s="236"/>
      <c r="P375" s="236"/>
      <c r="Q375" s="236"/>
      <c r="R375" s="236"/>
      <c r="S375" s="236"/>
      <c r="T375" s="236"/>
      <c r="U375" s="236"/>
      <c r="V375" s="236"/>
      <c r="W375" s="236"/>
      <c r="X375" s="236"/>
      <c r="Z375" s="236"/>
      <c r="AA375" s="82"/>
    </row>
    <row r="376" spans="2:53" x14ac:dyDescent="0.2">
      <c r="B376" s="693"/>
      <c r="C376" s="691"/>
      <c r="I376" s="340"/>
      <c r="J376" s="67"/>
      <c r="AB376" s="101"/>
      <c r="AC376" s="54"/>
      <c r="AD376" s="101"/>
      <c r="AE376" s="101"/>
      <c r="AF376" s="101"/>
      <c r="AG376" s="101"/>
      <c r="AH376" s="101"/>
      <c r="AI376" s="101"/>
      <c r="AJ376" s="101"/>
      <c r="AK376" s="101"/>
      <c r="AL376" s="101"/>
      <c r="AM376" s="101"/>
      <c r="AN376" s="101"/>
      <c r="AO376" s="101"/>
    </row>
    <row r="377" spans="2:53" x14ac:dyDescent="0.2">
      <c r="B377" s="693"/>
      <c r="C377" s="691"/>
      <c r="I377" s="340"/>
      <c r="J377" s="67"/>
      <c r="L377" s="507" t="s">
        <v>128</v>
      </c>
      <c r="AB377" s="101"/>
      <c r="AC377" s="54"/>
      <c r="AD377" s="101"/>
      <c r="AE377" s="101"/>
      <c r="AF377" s="101"/>
      <c r="AG377" s="101"/>
      <c r="AH377" s="101"/>
      <c r="AI377" s="101"/>
      <c r="AJ377" s="101"/>
      <c r="AK377" s="101"/>
      <c r="AL377" s="101"/>
      <c r="AM377" s="101"/>
      <c r="AN377" s="101"/>
      <c r="AO377" s="101"/>
    </row>
    <row r="378" spans="2:53" x14ac:dyDescent="0.2">
      <c r="B378" s="693"/>
      <c r="C378" s="691"/>
      <c r="I378" s="340"/>
      <c r="J378" s="67"/>
      <c r="K378" s="101"/>
      <c r="L378" s="69">
        <v>2</v>
      </c>
      <c r="M378" s="60"/>
      <c r="N378" s="60">
        <v>4</v>
      </c>
      <c r="O378" s="60"/>
      <c r="P378" s="60">
        <v>6</v>
      </c>
      <c r="Q378" s="60"/>
      <c r="R378" s="60">
        <v>8</v>
      </c>
      <c r="S378" s="60"/>
      <c r="T378" s="60">
        <v>10</v>
      </c>
      <c r="U378" s="60"/>
      <c r="V378" s="60">
        <v>12</v>
      </c>
      <c r="W378" s="60"/>
      <c r="X378" s="60">
        <v>14</v>
      </c>
      <c r="Y378" s="60"/>
      <c r="Z378" s="60">
        <v>20</v>
      </c>
      <c r="AI378" s="115">
        <v>2</v>
      </c>
      <c r="AJ378" s="115"/>
      <c r="AK378" s="115">
        <v>4</v>
      </c>
      <c r="AL378" s="115"/>
      <c r="AM378" s="115">
        <v>6</v>
      </c>
      <c r="AN378" s="115"/>
      <c r="AO378" s="115">
        <v>8</v>
      </c>
      <c r="AP378" s="115"/>
      <c r="AQ378" s="115">
        <v>10</v>
      </c>
      <c r="AR378" s="115"/>
      <c r="AS378" s="115">
        <v>12</v>
      </c>
      <c r="AT378" s="115"/>
      <c r="AU378" s="115">
        <v>14</v>
      </c>
      <c r="AV378" s="115"/>
      <c r="AW378" s="115">
        <v>16</v>
      </c>
      <c r="AX378" s="115"/>
      <c r="AY378" s="115">
        <v>18</v>
      </c>
    </row>
    <row r="379" spans="2:53" x14ac:dyDescent="0.2">
      <c r="B379" s="693"/>
      <c r="C379" s="691"/>
      <c r="I379" s="340"/>
      <c r="J379" s="67"/>
      <c r="K379" s="100"/>
      <c r="L379" s="505" t="s">
        <v>146</v>
      </c>
      <c r="M379" s="60"/>
      <c r="N379" s="497" t="s">
        <v>147</v>
      </c>
      <c r="O379" s="60"/>
      <c r="P379" s="497" t="s">
        <v>148</v>
      </c>
      <c r="Q379" s="60"/>
      <c r="R379" s="497" t="s">
        <v>132</v>
      </c>
      <c r="S379" s="60"/>
      <c r="T379" s="497" t="s">
        <v>269</v>
      </c>
      <c r="U379" s="508"/>
      <c r="V379" s="497" t="s">
        <v>92</v>
      </c>
      <c r="W379" s="60"/>
      <c r="X379" s="497" t="s">
        <v>93</v>
      </c>
      <c r="Y379" s="60"/>
      <c r="Z379" s="497" t="s">
        <v>270</v>
      </c>
      <c r="AI379" s="116"/>
      <c r="AJ379" s="116"/>
      <c r="AK379" s="116"/>
      <c r="AL379" s="116"/>
      <c r="AM379" s="116"/>
      <c r="AN379" s="116"/>
      <c r="AO379" s="116"/>
      <c r="AP379" s="116"/>
      <c r="AQ379" s="116"/>
      <c r="AR379" s="116"/>
      <c r="AS379" s="116" t="s">
        <v>371</v>
      </c>
      <c r="AT379" s="116"/>
      <c r="AU379" s="116" t="s">
        <v>412</v>
      </c>
      <c r="AV379" s="116"/>
      <c r="AW379" s="116" t="s">
        <v>411</v>
      </c>
      <c r="AX379" s="116"/>
      <c r="AY379" s="116" t="s">
        <v>93</v>
      </c>
    </row>
    <row r="380" spans="2:53" x14ac:dyDescent="0.2">
      <c r="B380" s="693"/>
      <c r="C380" s="691"/>
      <c r="I380" s="340"/>
      <c r="J380" s="67"/>
      <c r="K380" s="100"/>
      <c r="L380" s="69"/>
      <c r="M380" s="340"/>
      <c r="N380" s="340"/>
      <c r="O380" s="340"/>
      <c r="P380" s="340"/>
      <c r="Q380" s="340"/>
      <c r="R380" s="340"/>
      <c r="S380" s="340"/>
      <c r="T380" s="340"/>
      <c r="U380" s="340"/>
      <c r="V380" s="340"/>
      <c r="W380" s="340"/>
      <c r="X380" s="340"/>
      <c r="AI380" s="116" t="s">
        <v>368</v>
      </c>
      <c r="AJ380" s="116"/>
      <c r="AK380" s="116" t="s">
        <v>369</v>
      </c>
      <c r="AL380" s="116"/>
      <c r="AM380" s="116" t="s">
        <v>370</v>
      </c>
      <c r="AN380" s="116"/>
      <c r="AO380" s="116" t="s">
        <v>325</v>
      </c>
      <c r="AP380" s="116"/>
      <c r="AQ380" s="116" t="s">
        <v>275</v>
      </c>
      <c r="AR380" s="116"/>
      <c r="AS380" s="116" t="s">
        <v>372</v>
      </c>
      <c r="AT380" s="116"/>
      <c r="AU380" s="116" t="s">
        <v>413</v>
      </c>
      <c r="AV380" s="116"/>
      <c r="AW380" s="116" t="s">
        <v>271</v>
      </c>
      <c r="AX380" s="116"/>
      <c r="AY380" s="116" t="s">
        <v>271</v>
      </c>
    </row>
    <row r="381" spans="2:53" x14ac:dyDescent="0.2">
      <c r="B381" s="693"/>
      <c r="C381" s="691"/>
      <c r="I381" s="340"/>
      <c r="J381" s="67"/>
      <c r="K381" s="100"/>
      <c r="L381" s="69"/>
      <c r="M381" s="340"/>
      <c r="O381" s="340"/>
      <c r="Q381" s="340"/>
      <c r="S381" s="340"/>
      <c r="U381" s="340"/>
      <c r="W381" s="340"/>
      <c r="Z381" s="67"/>
    </row>
    <row r="382" spans="2:53" x14ac:dyDescent="0.2">
      <c r="B382" s="693"/>
      <c r="C382" s="691"/>
      <c r="I382" s="340"/>
      <c r="J382" s="67"/>
      <c r="K382" s="100">
        <v>1</v>
      </c>
      <c r="L382" s="509">
        <f>'F 1-2'!K15</f>
        <v>0.48080000000000001</v>
      </c>
      <c r="M382" s="509"/>
      <c r="N382" s="509">
        <f>'F 1-2'!K16</f>
        <v>0.32429999999999998</v>
      </c>
      <c r="O382" s="509"/>
      <c r="P382" s="509">
        <f>'F 1-2'!K17</f>
        <v>5.2699999999999997E-2</v>
      </c>
      <c r="Q382" s="509"/>
      <c r="R382" s="509">
        <f>'F 1-2'!K18</f>
        <v>9.9500000000000005E-2</v>
      </c>
      <c r="S382" s="509"/>
      <c r="T382" s="509">
        <f>'F 1-2'!K19</f>
        <v>3.6400000000000002E-2</v>
      </c>
      <c r="U382" s="509"/>
      <c r="V382" s="509">
        <f>'F 1-2'!K20</f>
        <v>3.0999999999999999E-3</v>
      </c>
      <c r="W382" s="509"/>
      <c r="X382" s="509">
        <f>'F 1-2'!K21</f>
        <v>3.2000000000000002E-3</v>
      </c>
      <c r="Y382" s="72"/>
      <c r="Z382" s="72">
        <f t="shared" ref="Z382:Z391" si="431">SUM(L382:Y382)</f>
        <v>0.99999999999999989</v>
      </c>
      <c r="AA382" t="str">
        <f>IF(Z382=1,"ok","&lt;&lt;&lt;&lt;??")</f>
        <v>ok</v>
      </c>
      <c r="AH382" s="115">
        <v>1</v>
      </c>
      <c r="AI382" s="114">
        <f>1-AW382-AY382</f>
        <v>0.99370000000000003</v>
      </c>
      <c r="AJ382" s="114"/>
      <c r="AK382" s="114">
        <v>0</v>
      </c>
      <c r="AL382" s="114"/>
      <c r="AM382" s="114">
        <v>0</v>
      </c>
      <c r="AN382" s="114"/>
      <c r="AO382" s="114">
        <v>0</v>
      </c>
      <c r="AP382" s="114"/>
      <c r="AQ382" s="114">
        <v>0</v>
      </c>
      <c r="AR382" s="114"/>
      <c r="AS382" s="114">
        <v>0</v>
      </c>
      <c r="AT382" s="114"/>
      <c r="AU382" s="114"/>
      <c r="AV382" s="114"/>
      <c r="AW382" s="114">
        <f>+'F 1-2'!K20</f>
        <v>3.0999999999999999E-3</v>
      </c>
      <c r="AX382" s="114"/>
      <c r="AY382" s="114">
        <f>+'F 1-2'!K21</f>
        <v>3.2000000000000002E-3</v>
      </c>
      <c r="AZ382" s="114"/>
      <c r="BA382" s="114">
        <f>SUM(AI382:AY382)</f>
        <v>1</v>
      </c>
    </row>
    <row r="383" spans="2:53" x14ac:dyDescent="0.2">
      <c r="B383" s="693"/>
      <c r="C383" s="691"/>
      <c r="I383" s="340"/>
      <c r="J383" s="67"/>
      <c r="K383" s="100">
        <v>2</v>
      </c>
      <c r="L383" s="509">
        <f>'F 1-2'!M38</f>
        <v>0.50119999999999998</v>
      </c>
      <c r="M383" s="509"/>
      <c r="N383" s="509">
        <f>'F 1-2'!M39</f>
        <v>0.32279999999999998</v>
      </c>
      <c r="O383" s="509"/>
      <c r="P383" s="509">
        <f>'F 1-2'!M40</f>
        <v>4.7500000000000001E-2</v>
      </c>
      <c r="Q383" s="509"/>
      <c r="R383" s="509">
        <f>'F 1-2'!M41</f>
        <v>9.2100000000000001E-2</v>
      </c>
      <c r="S383" s="509"/>
      <c r="T383" s="509">
        <f>'F 1-2'!M42</f>
        <v>3.2799999999999996E-2</v>
      </c>
      <c r="U383" s="509"/>
      <c r="V383" s="509">
        <f>'F 1-2'!M43</f>
        <v>1.8E-3</v>
      </c>
      <c r="W383" s="509"/>
      <c r="X383" s="509">
        <f>'F 1-2'!M44</f>
        <v>1.8E-3</v>
      </c>
      <c r="Y383" s="72"/>
      <c r="Z383" s="72">
        <f t="shared" si="431"/>
        <v>1</v>
      </c>
      <c r="AA383" t="str">
        <f t="shared" ref="AA383:AA402" si="432">IF(Z383=1,"ok","&lt;&lt;&lt;&lt;??")</f>
        <v>ok</v>
      </c>
      <c r="AH383" s="115">
        <v>2</v>
      </c>
      <c r="AI383" s="114">
        <f>+'F 2 B'!H29-'Sch B COS'!AW383-AY383</f>
        <v>0.56779999999999997</v>
      </c>
      <c r="AJ383" s="114"/>
      <c r="AK383" s="114">
        <f>+'F 2 B'!H31</f>
        <v>0.42859999999999998</v>
      </c>
      <c r="AL383" s="114"/>
      <c r="AM383" s="114">
        <v>0</v>
      </c>
      <c r="AN383" s="114"/>
      <c r="AO383" s="114">
        <v>0</v>
      </c>
      <c r="AP383" s="114"/>
      <c r="AQ383" s="114">
        <v>0</v>
      </c>
      <c r="AR383" s="114"/>
      <c r="AS383" s="114">
        <v>0</v>
      </c>
      <c r="AT383" s="114"/>
      <c r="AU383" s="114"/>
      <c r="AV383" s="114"/>
      <c r="AW383" s="114">
        <f>+'F 1-2'!G43</f>
        <v>1.8E-3</v>
      </c>
      <c r="AX383" s="114"/>
      <c r="AY383" s="114">
        <f>+'F 1-2'!M44</f>
        <v>1.8E-3</v>
      </c>
      <c r="AZ383" s="114"/>
      <c r="BA383" s="114">
        <f>SUM(AI383:AY383)</f>
        <v>1</v>
      </c>
    </row>
    <row r="384" spans="2:53" x14ac:dyDescent="0.2">
      <c r="B384" s="693"/>
      <c r="C384" s="691"/>
      <c r="I384" s="340"/>
      <c r="J384" s="67"/>
      <c r="K384" s="100">
        <v>3</v>
      </c>
      <c r="L384" s="509">
        <f>'F 3-4'!P17</f>
        <v>0.46220000000000006</v>
      </c>
      <c r="M384" s="509"/>
      <c r="N384" s="509">
        <f>'F 3-4'!P18</f>
        <v>0.29749999999999999</v>
      </c>
      <c r="O384" s="509"/>
      <c r="P384" s="509">
        <f>'F 3-4'!P19</f>
        <v>4.3799999999999999E-2</v>
      </c>
      <c r="Q384" s="509"/>
      <c r="R384" s="509">
        <f>'F 3-4'!P20</f>
        <v>8.48E-2</v>
      </c>
      <c r="S384" s="509"/>
      <c r="T384" s="509">
        <f>'F 3-4'!P21</f>
        <v>3.0300000000000001E-2</v>
      </c>
      <c r="U384" s="509"/>
      <c r="V384" s="509">
        <f>'F 3-4'!P22</f>
        <v>3.9299999999999995E-2</v>
      </c>
      <c r="W384" s="509"/>
      <c r="X384" s="509">
        <f>'F 3-4'!P23</f>
        <v>4.2099999999999999E-2</v>
      </c>
      <c r="Y384" s="72"/>
      <c r="Z384" s="72">
        <f t="shared" si="431"/>
        <v>1</v>
      </c>
      <c r="AA384" t="str">
        <f t="shared" si="432"/>
        <v>ok</v>
      </c>
      <c r="AH384" s="115">
        <v>3</v>
      </c>
      <c r="AI384" s="114">
        <f>+'F 3-4'!F15</f>
        <v>0.52680000000000005</v>
      </c>
      <c r="AJ384" s="114"/>
      <c r="AK384" s="114">
        <f>+'F 3-4'!J15</f>
        <v>0.39510000000000001</v>
      </c>
      <c r="AL384" s="114"/>
      <c r="AM384" s="114">
        <v>0</v>
      </c>
      <c r="AN384" s="114"/>
      <c r="AO384" s="114">
        <v>0</v>
      </c>
      <c r="AP384" s="114"/>
      <c r="AQ384" s="114">
        <v>0</v>
      </c>
      <c r="AR384" s="114"/>
      <c r="AS384" s="114">
        <v>0</v>
      </c>
      <c r="AT384" s="114"/>
      <c r="AU384" s="114"/>
      <c r="AV384" s="114"/>
      <c r="AW384" s="114">
        <f>+'F 3-4'!N22</f>
        <v>3.7699999999999997E-2</v>
      </c>
      <c r="AX384" s="114"/>
      <c r="AY384" s="114">
        <f>+'F 3-4'!N23</f>
        <v>4.0399999999999998E-2</v>
      </c>
      <c r="AZ384" s="114"/>
      <c r="BA384" s="114">
        <f t="shared" ref="BA384:BA402" si="433">SUM(AI384:AY384)</f>
        <v>1</v>
      </c>
    </row>
    <row r="385" spans="2:53" x14ac:dyDescent="0.2">
      <c r="B385" s="693"/>
      <c r="C385" s="691"/>
      <c r="I385" s="340"/>
      <c r="J385" s="67"/>
      <c r="K385" s="100">
        <v>4</v>
      </c>
      <c r="L385" s="509">
        <f>'F 3-4'!R45</f>
        <v>0.48170000000000002</v>
      </c>
      <c r="M385" s="509"/>
      <c r="N385" s="509">
        <f>'F 3-4'!R46</f>
        <v>0.31430000000000002</v>
      </c>
      <c r="O385" s="509"/>
      <c r="P385" s="509">
        <f>'F 3-4'!R47</f>
        <v>3.2000000000000002E-3</v>
      </c>
      <c r="Q385" s="509"/>
      <c r="R385" s="509">
        <f>'F 3-4'!R48</f>
        <v>7.3800000000000004E-2</v>
      </c>
      <c r="S385" s="509"/>
      <c r="T385" s="509">
        <f>'F 3-4'!R49</f>
        <v>0</v>
      </c>
      <c r="U385" s="509"/>
      <c r="V385" s="509">
        <f>'F 3-4'!R50</f>
        <v>6.1399999999999996E-2</v>
      </c>
      <c r="W385" s="509"/>
      <c r="X385" s="509">
        <f>'F 3-4'!R51</f>
        <v>6.5600000000000006E-2</v>
      </c>
      <c r="Y385" s="72"/>
      <c r="Z385" s="72">
        <f t="shared" si="431"/>
        <v>1</v>
      </c>
      <c r="AA385" t="str">
        <f t="shared" si="432"/>
        <v>ok</v>
      </c>
      <c r="AH385" s="115">
        <v>4</v>
      </c>
      <c r="AI385" s="114">
        <f>+'F 3-4'!H43-'F 3-4'!H50-'F 3-4'!H51</f>
        <v>0.34780000000000005</v>
      </c>
      <c r="AJ385" s="114"/>
      <c r="AK385" s="114">
        <v>0</v>
      </c>
      <c r="AL385" s="114"/>
      <c r="AM385" s="114">
        <f>+'F 3-4'!L43</f>
        <v>0.5252</v>
      </c>
      <c r="AN385" s="114"/>
      <c r="AO385" s="114">
        <v>0</v>
      </c>
      <c r="AP385" s="114"/>
      <c r="AQ385" s="114">
        <v>0</v>
      </c>
      <c r="AR385" s="114"/>
      <c r="AS385" s="114">
        <v>0</v>
      </c>
      <c r="AT385" s="114"/>
      <c r="AU385" s="114"/>
      <c r="AV385" s="114"/>
      <c r="AW385" s="114">
        <f>+'F 3-4'!R50</f>
        <v>6.1399999999999996E-2</v>
      </c>
      <c r="AX385" s="114"/>
      <c r="AY385" s="114">
        <f>+'F 3-4'!R51</f>
        <v>6.5600000000000006E-2</v>
      </c>
      <c r="AZ385" s="114"/>
      <c r="BA385" s="114">
        <f t="shared" si="433"/>
        <v>1</v>
      </c>
    </row>
    <row r="386" spans="2:53" x14ac:dyDescent="0.2">
      <c r="B386" s="693"/>
      <c r="C386" s="691"/>
      <c r="I386" s="340"/>
      <c r="J386" s="67"/>
      <c r="K386" s="100">
        <v>5</v>
      </c>
      <c r="L386" s="509">
        <f>'F 5'!R16</f>
        <v>0.40149999999999997</v>
      </c>
      <c r="M386" s="509"/>
      <c r="N386" s="509">
        <f>'F 5'!R17</f>
        <v>0.26169999999999999</v>
      </c>
      <c r="O386" s="509"/>
      <c r="P386" s="509">
        <f>'F 5'!R18</f>
        <v>3.3100000000000004E-2</v>
      </c>
      <c r="Q386" s="509"/>
      <c r="R386" s="509">
        <f>'F 5'!R19</f>
        <v>6.1100000000000002E-2</v>
      </c>
      <c r="S386" s="509"/>
      <c r="T386" s="509">
        <f>'F 5'!R20</f>
        <v>2.0400000000000001E-2</v>
      </c>
      <c r="U386" s="509"/>
      <c r="V386" s="509">
        <f>'F 5'!R21</f>
        <v>0.1074</v>
      </c>
      <c r="W386" s="509"/>
      <c r="X386" s="509">
        <f>'F 5'!R22</f>
        <v>0.1148</v>
      </c>
      <c r="Y386" s="72"/>
      <c r="Z386" s="72">
        <f t="shared" si="431"/>
        <v>1</v>
      </c>
      <c r="AA386" t="str">
        <f t="shared" si="432"/>
        <v>ok</v>
      </c>
      <c r="AH386" s="115">
        <v>5</v>
      </c>
      <c r="AI386" s="114">
        <f>+'F 5'!H14-'F 5'!H21-'F 5'!H22</f>
        <v>0.30990000000000001</v>
      </c>
      <c r="AJ386" s="114"/>
      <c r="AK386" s="114">
        <v>0</v>
      </c>
      <c r="AL386" s="114"/>
      <c r="AM386" s="114">
        <f>+'F 5'!L14</f>
        <v>0.46789999999999998</v>
      </c>
      <c r="AN386" s="114"/>
      <c r="AO386" s="114">
        <v>0</v>
      </c>
      <c r="AP386" s="114"/>
      <c r="AQ386" s="114">
        <v>0</v>
      </c>
      <c r="AR386" s="114"/>
      <c r="AS386" s="114">
        <v>0</v>
      </c>
      <c r="AT386" s="114"/>
      <c r="AU386" s="114"/>
      <c r="AV386" s="114"/>
      <c r="AW386" s="114">
        <f>+'F 5'!R21</f>
        <v>0.1074</v>
      </c>
      <c r="AX386" s="114"/>
      <c r="AY386" s="114">
        <f>+'F 5'!R22</f>
        <v>0.1148</v>
      </c>
      <c r="AZ386" s="114"/>
      <c r="BA386" s="114">
        <f t="shared" si="433"/>
        <v>1</v>
      </c>
    </row>
    <row r="387" spans="2:53" x14ac:dyDescent="0.2">
      <c r="B387" s="693"/>
      <c r="C387" s="691"/>
      <c r="I387" s="340"/>
      <c r="J387" s="67"/>
      <c r="K387" s="100">
        <v>6</v>
      </c>
      <c r="L387" s="509">
        <f>'F6-7'!P16</f>
        <v>0.4839</v>
      </c>
      <c r="M387" s="509"/>
      <c r="N387" s="509">
        <f>'F6-7'!P17</f>
        <v>0.31269999999999998</v>
      </c>
      <c r="O387" s="509"/>
      <c r="P387" s="509">
        <f>'F6-7'!P18</f>
        <v>3.4599999999999999E-2</v>
      </c>
      <c r="Q387" s="509"/>
      <c r="R387" s="509">
        <f>'F6-7'!P19</f>
        <v>8.4999999999999992E-2</v>
      </c>
      <c r="S387" s="509"/>
      <c r="T387" s="509">
        <f>'F6-7'!P20</f>
        <v>2.3400000000000001E-2</v>
      </c>
      <c r="U387" s="509"/>
      <c r="V387" s="509">
        <f>'F6-7'!P21</f>
        <v>2.9199999999999997E-2</v>
      </c>
      <c r="W387" s="509"/>
      <c r="X387" s="509">
        <f>'F6-7'!P22</f>
        <v>3.1199999999999999E-2</v>
      </c>
      <c r="Y387" s="72"/>
      <c r="Z387" s="72">
        <f t="shared" si="431"/>
        <v>0.99999999999999989</v>
      </c>
      <c r="AA387" t="str">
        <f t="shared" si="432"/>
        <v>ok</v>
      </c>
      <c r="AH387" s="115">
        <v>6</v>
      </c>
      <c r="AI387" s="114">
        <f>+'F6-7'!Y16</f>
        <v>0.49614095999999996</v>
      </c>
      <c r="AJ387" s="114"/>
      <c r="AK387" s="114">
        <f>+'F6-7'!Y17</f>
        <v>0.30530000000000002</v>
      </c>
      <c r="AL387" s="114"/>
      <c r="AM387" s="114">
        <f>+'F6-7'!Y18</f>
        <v>0.13823263999999999</v>
      </c>
      <c r="AN387" s="114"/>
      <c r="AO387" s="114"/>
      <c r="AP387" s="114"/>
      <c r="AQ387" s="114"/>
      <c r="AR387" s="114"/>
      <c r="AS387" s="114"/>
      <c r="AT387" s="114"/>
      <c r="AU387" s="114"/>
      <c r="AV387" s="114"/>
      <c r="AW387" s="114">
        <f>+'F6-7'!Y19</f>
        <v>2.9160479999999999E-2</v>
      </c>
      <c r="AX387" s="114"/>
      <c r="AY387" s="114">
        <f>+'F6-7'!Y20</f>
        <v>3.116592E-2</v>
      </c>
      <c r="AZ387" s="114"/>
      <c r="BA387" s="114">
        <f t="shared" si="433"/>
        <v>1</v>
      </c>
    </row>
    <row r="388" spans="2:53" x14ac:dyDescent="0.2">
      <c r="B388" s="693"/>
      <c r="C388" s="691"/>
      <c r="I388" s="340"/>
      <c r="J388" s="67"/>
      <c r="K388" s="100">
        <v>7</v>
      </c>
      <c r="L388" s="509">
        <f>'F6-7'!N56</f>
        <v>0.47760000000000002</v>
      </c>
      <c r="M388" s="509"/>
      <c r="N388" s="509">
        <f>'F6-7'!N57</f>
        <v>0.3105</v>
      </c>
      <c r="O388" s="509"/>
      <c r="P388" s="509">
        <f>'F6-7'!N58</f>
        <v>1.2200000000000001E-2</v>
      </c>
      <c r="Q388" s="509"/>
      <c r="R388" s="509">
        <f>'F6-7'!N59</f>
        <v>7.6200000000000004E-2</v>
      </c>
      <c r="S388" s="509"/>
      <c r="T388" s="509">
        <f>'F6-7'!N60</f>
        <v>6.7000000000000002E-3</v>
      </c>
      <c r="U388" s="509"/>
      <c r="V388" s="509">
        <f>'F6-7'!N61</f>
        <v>5.6500000000000002E-2</v>
      </c>
      <c r="W388" s="509"/>
      <c r="X388" s="509">
        <f>'F6-7'!N62</f>
        <v>6.0299999999999992E-2</v>
      </c>
      <c r="Y388" s="72"/>
      <c r="Z388" s="72">
        <f t="shared" si="431"/>
        <v>1</v>
      </c>
      <c r="AA388" t="str">
        <f t="shared" si="432"/>
        <v>ok</v>
      </c>
      <c r="AH388" s="115">
        <v>7</v>
      </c>
      <c r="AI388" s="114">
        <f>+'F6-7'!Y55</f>
        <v>0.38690000000000002</v>
      </c>
      <c r="AJ388" s="114"/>
      <c r="AK388" s="114">
        <f>+'F6-7'!Y56</f>
        <v>8.77E-2</v>
      </c>
      <c r="AL388" s="114"/>
      <c r="AM388" s="114">
        <f>+'F6-7'!Y57</f>
        <v>0.40860000000000002</v>
      </c>
      <c r="AN388" s="114"/>
      <c r="AO388" s="114"/>
      <c r="AP388" s="114"/>
      <c r="AQ388" s="114"/>
      <c r="AR388" s="114"/>
      <c r="AS388" s="114"/>
      <c r="AT388" s="114"/>
      <c r="AU388" s="114"/>
      <c r="AV388" s="114"/>
      <c r="AW388" s="114">
        <f>+'F6-7'!Y58</f>
        <v>5.6500000000000002E-2</v>
      </c>
      <c r="AX388" s="114"/>
      <c r="AY388" s="114">
        <f>+'F6-7'!Y59</f>
        <v>6.0299999999999992E-2</v>
      </c>
      <c r="AZ388" s="114"/>
      <c r="BA388" s="114">
        <f t="shared" si="433"/>
        <v>1</v>
      </c>
    </row>
    <row r="389" spans="2:53" x14ac:dyDescent="0.2">
      <c r="B389" s="693"/>
      <c r="C389" s="691"/>
      <c r="I389" s="340"/>
      <c r="J389" s="67"/>
      <c r="K389" s="100">
        <v>8</v>
      </c>
      <c r="L389" s="509">
        <v>0</v>
      </c>
      <c r="M389" s="509"/>
      <c r="N389" s="509">
        <v>0</v>
      </c>
      <c r="O389" s="509"/>
      <c r="P389" s="509">
        <v>0</v>
      </c>
      <c r="Q389" s="509"/>
      <c r="R389" s="509">
        <v>0</v>
      </c>
      <c r="S389" s="509"/>
      <c r="T389" s="509">
        <v>0</v>
      </c>
      <c r="U389" s="509"/>
      <c r="V389" s="509">
        <v>0</v>
      </c>
      <c r="W389" s="509"/>
      <c r="X389" s="509">
        <v>1</v>
      </c>
      <c r="Y389" s="72"/>
      <c r="Z389" s="72">
        <f t="shared" si="431"/>
        <v>1</v>
      </c>
      <c r="AA389" t="str">
        <f t="shared" si="432"/>
        <v>ok</v>
      </c>
      <c r="AH389" s="115">
        <v>8</v>
      </c>
      <c r="AI389" s="114">
        <v>0</v>
      </c>
      <c r="AJ389" s="114"/>
      <c r="AK389" s="114">
        <v>0</v>
      </c>
      <c r="AL389" s="114"/>
      <c r="AM389" s="114">
        <v>0</v>
      </c>
      <c r="AN389" s="114"/>
      <c r="AO389" s="114">
        <v>0</v>
      </c>
      <c r="AP389" s="114"/>
      <c r="AQ389" s="114">
        <v>0</v>
      </c>
      <c r="AR389" s="114"/>
      <c r="AS389" s="114">
        <v>0</v>
      </c>
      <c r="AT389" s="114"/>
      <c r="AU389" s="114"/>
      <c r="AV389" s="114"/>
      <c r="AW389" s="114">
        <v>0</v>
      </c>
      <c r="AX389" s="114"/>
      <c r="AY389" s="114">
        <v>1</v>
      </c>
      <c r="AZ389" s="114"/>
      <c r="BA389" s="114">
        <f t="shared" si="433"/>
        <v>1</v>
      </c>
    </row>
    <row r="390" spans="2:53" x14ac:dyDescent="0.2">
      <c r="B390" s="693"/>
      <c r="C390" s="691"/>
      <c r="I390" s="340"/>
      <c r="J390" s="67"/>
      <c r="K390" s="100">
        <v>9</v>
      </c>
      <c r="L390" s="509">
        <f>'F8-10'!F27</f>
        <v>0.83020000000000005</v>
      </c>
      <c r="M390" s="509"/>
      <c r="N390" s="509">
        <f>'F8-10'!F28</f>
        <v>0.12759999999999999</v>
      </c>
      <c r="O390" s="509"/>
      <c r="P390" s="509">
        <f>'F8-10'!F29</f>
        <v>3.8999999999999998E-3</v>
      </c>
      <c r="Q390" s="509"/>
      <c r="R390" s="509">
        <f>'F8-10'!F30</f>
        <v>2.4E-2</v>
      </c>
      <c r="S390" s="509"/>
      <c r="T390" s="509">
        <f>'F8-10'!F31</f>
        <v>1.8E-3</v>
      </c>
      <c r="U390" s="509"/>
      <c r="V390" s="509">
        <f>'F8-10'!F32</f>
        <v>1.2500000000000001E-2</v>
      </c>
      <c r="W390" s="509"/>
      <c r="X390" s="509">
        <v>0</v>
      </c>
      <c r="Y390" s="72"/>
      <c r="Z390" s="72">
        <f t="shared" si="431"/>
        <v>1</v>
      </c>
      <c r="AA390" t="str">
        <f t="shared" si="432"/>
        <v>ok</v>
      </c>
      <c r="AH390" s="115">
        <v>9</v>
      </c>
      <c r="AI390" s="114">
        <v>0</v>
      </c>
      <c r="AJ390" s="114"/>
      <c r="AK390" s="114">
        <v>0</v>
      </c>
      <c r="AL390" s="114"/>
      <c r="AM390" s="114">
        <v>0</v>
      </c>
      <c r="AN390" s="114"/>
      <c r="AO390" s="114">
        <f>1-AW390</f>
        <v>0.98750000000000004</v>
      </c>
      <c r="AP390" s="114"/>
      <c r="AQ390" s="114">
        <v>0</v>
      </c>
      <c r="AR390" s="114"/>
      <c r="AS390" s="114"/>
      <c r="AT390" s="114"/>
      <c r="AU390" s="114"/>
      <c r="AV390" s="114"/>
      <c r="AW390" s="114">
        <f>+'F8-10'!F32</f>
        <v>1.2500000000000001E-2</v>
      </c>
      <c r="AX390" s="114"/>
      <c r="AY390" s="114">
        <v>0</v>
      </c>
      <c r="AZ390" s="114"/>
      <c r="BA390" s="114">
        <f t="shared" si="433"/>
        <v>1</v>
      </c>
    </row>
    <row r="391" spans="2:53" x14ac:dyDescent="0.2">
      <c r="B391" s="693"/>
      <c r="C391" s="691"/>
      <c r="I391" s="340"/>
      <c r="J391" s="67"/>
      <c r="K391" s="100">
        <v>10</v>
      </c>
      <c r="L391" s="509">
        <f>'F8-10'!F48</f>
        <v>0.82430000000000003</v>
      </c>
      <c r="M391" s="509"/>
      <c r="N391" s="509">
        <f>'F8-10'!F49</f>
        <v>0.10970000000000001</v>
      </c>
      <c r="O391" s="509"/>
      <c r="P391" s="509">
        <f>'F8-10'!F50</f>
        <v>1.1000000000000001E-3</v>
      </c>
      <c r="Q391" s="509"/>
      <c r="R391" s="509">
        <f>'F8-10'!F51</f>
        <v>1.3899999999999999E-2</v>
      </c>
      <c r="S391" s="509"/>
      <c r="T391" s="509">
        <f>'F8-10'!F52</f>
        <v>4.0000000000000002E-4</v>
      </c>
      <c r="U391" s="509"/>
      <c r="V391" s="509">
        <f>'F8-10'!F53</f>
        <v>5.0599999999999999E-2</v>
      </c>
      <c r="W391" s="509"/>
      <c r="X391" s="509">
        <v>0</v>
      </c>
      <c r="Y391" s="72"/>
      <c r="Z391" s="72">
        <f t="shared" si="431"/>
        <v>1</v>
      </c>
      <c r="AA391" t="str">
        <f t="shared" si="432"/>
        <v>ok</v>
      </c>
      <c r="AH391" s="115">
        <v>10</v>
      </c>
      <c r="AI391" s="114">
        <v>0</v>
      </c>
      <c r="AJ391" s="114"/>
      <c r="AK391" s="114">
        <v>0</v>
      </c>
      <c r="AL391" s="114"/>
      <c r="AM391" s="114">
        <v>0</v>
      </c>
      <c r="AN391" s="114"/>
      <c r="AO391" s="114">
        <v>0</v>
      </c>
      <c r="AP391" s="114"/>
      <c r="AQ391" s="114">
        <f>1-AW391</f>
        <v>0.94940000000000002</v>
      </c>
      <c r="AR391" s="114"/>
      <c r="AS391" s="114">
        <v>0</v>
      </c>
      <c r="AT391" s="114"/>
      <c r="AU391" s="114"/>
      <c r="AV391" s="114"/>
      <c r="AW391" s="114">
        <f>+'F8-10'!F53</f>
        <v>5.0599999999999999E-2</v>
      </c>
      <c r="AX391" s="114"/>
      <c r="AY391" s="114">
        <v>0</v>
      </c>
      <c r="AZ391" s="114"/>
      <c r="BA391" s="114">
        <f t="shared" si="433"/>
        <v>1</v>
      </c>
    </row>
    <row r="392" spans="2:53" x14ac:dyDescent="0.2">
      <c r="B392" s="693"/>
      <c r="C392" s="691"/>
      <c r="I392" s="340"/>
      <c r="J392" s="67"/>
      <c r="K392" s="100">
        <v>11</v>
      </c>
      <c r="L392" s="510">
        <f>+L358</f>
        <v>0.79969999999999997</v>
      </c>
      <c r="M392" s="510"/>
      <c r="N392" s="510">
        <f>+N358</f>
        <v>0.14349999999999999</v>
      </c>
      <c r="O392" s="510"/>
      <c r="P392" s="510">
        <f>+P358</f>
        <v>4.5999999999999999E-3</v>
      </c>
      <c r="Q392" s="510"/>
      <c r="R392" s="510">
        <f>+R358</f>
        <v>2.8500000000000001E-2</v>
      </c>
      <c r="S392" s="510"/>
      <c r="T392" s="510">
        <f>+T358</f>
        <v>2.2000000000000001E-3</v>
      </c>
      <c r="U392" s="510"/>
      <c r="V392" s="510">
        <f>+V358</f>
        <v>1.6299999999999999E-2</v>
      </c>
      <c r="W392" s="510"/>
      <c r="X392" s="510">
        <f>+X358</f>
        <v>5.1999999999999998E-3</v>
      </c>
      <c r="Y392" s="136"/>
      <c r="Z392" s="72">
        <f t="shared" ref="Z392:Z402" si="434">SUM(L392:Y392)</f>
        <v>0.99999999999999989</v>
      </c>
      <c r="AA392" t="str">
        <f t="shared" si="432"/>
        <v>ok</v>
      </c>
      <c r="AH392" s="115">
        <v>11</v>
      </c>
      <c r="AI392" s="114">
        <f>+AI358</f>
        <v>3.3800000000000004E-2</v>
      </c>
      <c r="AJ392" s="114">
        <f t="shared" ref="AJ392:AW392" si="435">+AJ358</f>
        <v>0</v>
      </c>
      <c r="AK392" s="114">
        <f t="shared" si="435"/>
        <v>7.6E-3</v>
      </c>
      <c r="AL392" s="114">
        <f t="shared" si="435"/>
        <v>0</v>
      </c>
      <c r="AM392" s="114">
        <f t="shared" si="435"/>
        <v>3.5499999999999997E-2</v>
      </c>
      <c r="AN392" s="114">
        <f t="shared" si="435"/>
        <v>0</v>
      </c>
      <c r="AO392" s="114">
        <f t="shared" si="435"/>
        <v>0.90159999999999996</v>
      </c>
      <c r="AP392" s="114">
        <f t="shared" si="435"/>
        <v>0</v>
      </c>
      <c r="AQ392" s="114">
        <f t="shared" si="435"/>
        <v>0</v>
      </c>
      <c r="AR392" s="114">
        <f t="shared" si="435"/>
        <v>0</v>
      </c>
      <c r="AS392" s="114">
        <f t="shared" si="435"/>
        <v>0</v>
      </c>
      <c r="AT392" s="114"/>
      <c r="AU392" s="114"/>
      <c r="AV392" s="114">
        <f t="shared" si="435"/>
        <v>0</v>
      </c>
      <c r="AW392" s="114">
        <f t="shared" si="435"/>
        <v>1.6299999999999999E-2</v>
      </c>
      <c r="AX392" s="114">
        <f>+AX358</f>
        <v>0</v>
      </c>
      <c r="AY392" s="114">
        <f>+'F11-12'!F22</f>
        <v>5.1999999999999998E-3</v>
      </c>
      <c r="AZ392" s="114"/>
      <c r="BA392" s="114">
        <f t="shared" si="433"/>
        <v>0.99999999999999989</v>
      </c>
    </row>
    <row r="393" spans="2:53" x14ac:dyDescent="0.2">
      <c r="B393" s="693"/>
      <c r="C393" s="691"/>
      <c r="I393" s="340"/>
      <c r="J393" s="67"/>
      <c r="K393" s="100">
        <v>12</v>
      </c>
      <c r="L393" s="510">
        <f>+L360</f>
        <v>0.48230000000000001</v>
      </c>
      <c r="M393" s="510"/>
      <c r="N393" s="510">
        <f>+N360</f>
        <v>0.22850000000000001</v>
      </c>
      <c r="O393" s="510"/>
      <c r="P393" s="510">
        <f>+P360</f>
        <v>2.47E-2</v>
      </c>
      <c r="Q393" s="510"/>
      <c r="R393" s="510">
        <f>+R360</f>
        <v>5.1499999999999997E-2</v>
      </c>
      <c r="S393" s="510"/>
      <c r="T393" s="510">
        <f>+T360</f>
        <v>1.5100000000000001E-2</v>
      </c>
      <c r="U393" s="510"/>
      <c r="V393" s="510">
        <f>+V360</f>
        <v>8.8499999999999995E-2</v>
      </c>
      <c r="W393" s="510"/>
      <c r="X393" s="510">
        <f>+X360</f>
        <v>0.1094</v>
      </c>
      <c r="Y393" s="136"/>
      <c r="Z393" s="72">
        <f t="shared" si="434"/>
        <v>1</v>
      </c>
      <c r="AA393" t="str">
        <f t="shared" si="432"/>
        <v>ok</v>
      </c>
      <c r="AH393" s="115">
        <v>12</v>
      </c>
      <c r="AI393" s="114">
        <f>+AI360</f>
        <v>0.24460000000000001</v>
      </c>
      <c r="AJ393" s="114">
        <f t="shared" ref="AJ393:AW393" si="436">+AJ360</f>
        <v>0</v>
      </c>
      <c r="AK393" s="114">
        <f t="shared" si="436"/>
        <v>5.4000000000000003E-3</v>
      </c>
      <c r="AL393" s="114">
        <f t="shared" si="436"/>
        <v>0</v>
      </c>
      <c r="AM393" s="114">
        <f t="shared" si="436"/>
        <v>0.35849999999999999</v>
      </c>
      <c r="AN393" s="114">
        <f t="shared" si="436"/>
        <v>0</v>
      </c>
      <c r="AO393" s="114">
        <f t="shared" si="436"/>
        <v>4.4499999999999998E-2</v>
      </c>
      <c r="AP393" s="114">
        <f t="shared" si="436"/>
        <v>0</v>
      </c>
      <c r="AQ393" s="114">
        <f t="shared" si="436"/>
        <v>0.14910000000000001</v>
      </c>
      <c r="AR393" s="114">
        <f t="shared" si="436"/>
        <v>0</v>
      </c>
      <c r="AS393" s="114">
        <f t="shared" si="436"/>
        <v>0</v>
      </c>
      <c r="AT393" s="114"/>
      <c r="AU393" s="114"/>
      <c r="AV393" s="114">
        <f t="shared" si="436"/>
        <v>0</v>
      </c>
      <c r="AW393" s="114">
        <f t="shared" si="436"/>
        <v>8.8499999999999995E-2</v>
      </c>
      <c r="AX393" s="114">
        <f>+AX360</f>
        <v>0</v>
      </c>
      <c r="AY393" s="114">
        <f>+'F11-12'!F68</f>
        <v>0.1094</v>
      </c>
      <c r="AZ393" s="114"/>
      <c r="BA393" s="114">
        <f t="shared" si="433"/>
        <v>1</v>
      </c>
    </row>
    <row r="394" spans="2:53" x14ac:dyDescent="0.2">
      <c r="B394" s="693"/>
      <c r="C394" s="691"/>
      <c r="I394" s="340"/>
      <c r="J394" s="67"/>
      <c r="K394" s="100">
        <v>13</v>
      </c>
      <c r="L394" s="509">
        <f>+'F13-14'!F13</f>
        <v>0.90139999999999998</v>
      </c>
      <c r="M394" s="509"/>
      <c r="N394" s="509">
        <f>+'F13-14'!F14</f>
        <v>6.88E-2</v>
      </c>
      <c r="O394" s="509"/>
      <c r="P394" s="509">
        <f>+'F13-14'!F15</f>
        <v>4.0000000000000002E-4</v>
      </c>
      <c r="Q394" s="509"/>
      <c r="R394" s="509">
        <f>+'F13-14'!F16</f>
        <v>6.0000000000000001E-3</v>
      </c>
      <c r="S394" s="509"/>
      <c r="T394" s="509">
        <f>+'F13-14'!F17</f>
        <v>1E-4</v>
      </c>
      <c r="U394" s="509"/>
      <c r="V394" s="509">
        <f>+'F13-14'!F18</f>
        <v>2.3E-2</v>
      </c>
      <c r="W394" s="509"/>
      <c r="X394" s="509">
        <f>+'F13-14'!F19</f>
        <v>2.9999999999999997E-4</v>
      </c>
      <c r="Y394" s="72"/>
      <c r="Z394" s="72">
        <f t="shared" si="434"/>
        <v>0.99999999999999989</v>
      </c>
      <c r="AA394" t="str">
        <f t="shared" si="432"/>
        <v>ok</v>
      </c>
      <c r="AH394" s="115">
        <v>13</v>
      </c>
      <c r="AI394" s="114">
        <v>0</v>
      </c>
      <c r="AJ394" s="114"/>
      <c r="AK394" s="114">
        <v>0</v>
      </c>
      <c r="AL394" s="114"/>
      <c r="AM394" s="114">
        <v>0</v>
      </c>
      <c r="AN394" s="114">
        <v>0</v>
      </c>
      <c r="AO394" s="114">
        <v>0</v>
      </c>
      <c r="AP394" s="114"/>
      <c r="AQ394" s="114">
        <v>0</v>
      </c>
      <c r="AR394" s="114"/>
      <c r="AS394" s="114">
        <f>1-AW394-AY394</f>
        <v>0.97670000000000001</v>
      </c>
      <c r="AT394" s="114"/>
      <c r="AU394" s="114"/>
      <c r="AV394" s="114"/>
      <c r="AW394" s="114">
        <f>+'F13-14'!F18</f>
        <v>2.3E-2</v>
      </c>
      <c r="AX394" s="114"/>
      <c r="AY394" s="114">
        <f>+'F13-14'!F19</f>
        <v>2.9999999999999997E-4</v>
      </c>
      <c r="AZ394" s="114"/>
      <c r="BA394" s="114">
        <f t="shared" si="433"/>
        <v>1</v>
      </c>
    </row>
    <row r="395" spans="2:53" x14ac:dyDescent="0.2">
      <c r="B395" s="693"/>
      <c r="C395" s="691"/>
      <c r="I395" s="340"/>
      <c r="J395" s="67"/>
      <c r="K395" s="100">
        <v>14</v>
      </c>
      <c r="L395" s="509">
        <f>+'F13-14'!F33</f>
        <v>0.91020000000000001</v>
      </c>
      <c r="M395" s="509"/>
      <c r="N395" s="509">
        <f>+'F13-14'!F34</f>
        <v>6.9400000000000003E-2</v>
      </c>
      <c r="O395" s="509"/>
      <c r="P395" s="509">
        <f>+'F13-14'!F35</f>
        <v>4.0000000000000002E-4</v>
      </c>
      <c r="Q395" s="509"/>
      <c r="R395" s="509">
        <f>+'F13-14'!F36</f>
        <v>6.0000000000000001E-3</v>
      </c>
      <c r="S395" s="509"/>
      <c r="T395" s="509">
        <f>+'F13-14'!F37</f>
        <v>1E-4</v>
      </c>
      <c r="U395" s="509"/>
      <c r="V395" s="509">
        <f>+'F13-14'!F38</f>
        <v>1.3899999999999999E-2</v>
      </c>
      <c r="W395" s="509"/>
      <c r="X395" s="509">
        <v>0</v>
      </c>
      <c r="Y395" s="136"/>
      <c r="Z395" s="72">
        <f t="shared" si="434"/>
        <v>1</v>
      </c>
      <c r="AA395" t="str">
        <f t="shared" si="432"/>
        <v>ok</v>
      </c>
      <c r="AH395" s="115">
        <v>14</v>
      </c>
      <c r="AI395" s="114">
        <v>0</v>
      </c>
      <c r="AJ395" s="114"/>
      <c r="AK395" s="114">
        <v>0</v>
      </c>
      <c r="AL395" s="114"/>
      <c r="AM395" s="114">
        <v>0</v>
      </c>
      <c r="AN395" s="114">
        <v>0</v>
      </c>
      <c r="AO395" s="114">
        <v>0</v>
      </c>
      <c r="AP395" s="114"/>
      <c r="AQ395" s="114">
        <v>0</v>
      </c>
      <c r="AR395" s="114"/>
      <c r="AS395" s="114">
        <v>1</v>
      </c>
      <c r="AT395" s="114"/>
      <c r="AU395" s="114"/>
      <c r="AV395" s="114"/>
      <c r="AW395" s="114">
        <v>0</v>
      </c>
      <c r="AX395" s="114"/>
      <c r="AY395" s="114">
        <v>0</v>
      </c>
      <c r="AZ395" s="114"/>
      <c r="BA395" s="114">
        <f t="shared" si="433"/>
        <v>1</v>
      </c>
    </row>
    <row r="396" spans="2:53" x14ac:dyDescent="0.2">
      <c r="B396" s="693"/>
      <c r="C396" s="691"/>
      <c r="I396" s="340"/>
      <c r="J396" s="67"/>
      <c r="K396" s="100">
        <v>15</v>
      </c>
      <c r="L396" s="510">
        <f t="shared" ref="L396:X396" si="437">+L362</f>
        <v>0.64370000000000005</v>
      </c>
      <c r="M396" s="510">
        <f t="shared" si="437"/>
        <v>0</v>
      </c>
      <c r="N396" s="510">
        <f t="shared" si="437"/>
        <v>0.21199999999999999</v>
      </c>
      <c r="O396" s="510">
        <f t="shared" si="437"/>
        <v>0</v>
      </c>
      <c r="P396" s="510">
        <f t="shared" si="437"/>
        <v>2.3699999999999999E-2</v>
      </c>
      <c r="Q396" s="510">
        <f t="shared" si="437"/>
        <v>0</v>
      </c>
      <c r="R396" s="510">
        <f t="shared" si="437"/>
        <v>5.1200000000000002E-2</v>
      </c>
      <c r="S396" s="510">
        <f t="shared" si="437"/>
        <v>0</v>
      </c>
      <c r="T396" s="510">
        <f t="shared" si="437"/>
        <v>1.5800000000000002E-2</v>
      </c>
      <c r="U396" s="510">
        <f t="shared" si="437"/>
        <v>0</v>
      </c>
      <c r="V396" s="510">
        <f t="shared" si="437"/>
        <v>2.81E-2</v>
      </c>
      <c r="W396" s="510">
        <f t="shared" si="437"/>
        <v>0</v>
      </c>
      <c r="X396" s="510">
        <f t="shared" si="437"/>
        <v>2.5499999999999998E-2</v>
      </c>
      <c r="Y396" s="136"/>
      <c r="Z396" s="72">
        <f t="shared" si="434"/>
        <v>1</v>
      </c>
      <c r="AA396" t="str">
        <f t="shared" si="432"/>
        <v>ok</v>
      </c>
      <c r="AH396" s="115">
        <v>15</v>
      </c>
      <c r="AI396" s="114">
        <f>+AI362</f>
        <v>0.26800000000000002</v>
      </c>
      <c r="AJ396" s="114">
        <f t="shared" ref="AJ396:AW396" si="438">+AJ362</f>
        <v>0</v>
      </c>
      <c r="AK396" s="114">
        <f t="shared" si="438"/>
        <v>0.16</v>
      </c>
      <c r="AL396" s="114">
        <f t="shared" si="438"/>
        <v>0</v>
      </c>
      <c r="AM396" s="114">
        <f t="shared" si="438"/>
        <v>8.4500000000000006E-2</v>
      </c>
      <c r="AN396" s="114">
        <f t="shared" si="438"/>
        <v>0</v>
      </c>
      <c r="AO396" s="114">
        <f t="shared" si="438"/>
        <v>0.1714</v>
      </c>
      <c r="AP396" s="114">
        <f t="shared" si="438"/>
        <v>0</v>
      </c>
      <c r="AQ396" s="114">
        <f t="shared" si="438"/>
        <v>3.2500000000000001E-2</v>
      </c>
      <c r="AR396" s="114">
        <f t="shared" si="438"/>
        <v>0</v>
      </c>
      <c r="AS396" s="114">
        <f t="shared" si="438"/>
        <v>0.1628</v>
      </c>
      <c r="AT396" s="114">
        <f>+AT362</f>
        <v>0</v>
      </c>
      <c r="AU396" s="114">
        <f>+AU362</f>
        <v>6.9400000000000003E-2</v>
      </c>
      <c r="AV396" s="114">
        <f t="shared" si="438"/>
        <v>0</v>
      </c>
      <c r="AW396" s="114">
        <f t="shared" si="438"/>
        <v>2.5899999999999999E-2</v>
      </c>
      <c r="AX396" s="114">
        <f>+AX362</f>
        <v>0</v>
      </c>
      <c r="AY396" s="114">
        <f>+AY362</f>
        <v>2.5499999999999998E-2</v>
      </c>
      <c r="AZ396" s="114"/>
      <c r="BA396" s="114">
        <f t="shared" si="433"/>
        <v>1</v>
      </c>
    </row>
    <row r="397" spans="2:53" x14ac:dyDescent="0.2">
      <c r="B397" s="693"/>
      <c r="C397" s="691"/>
      <c r="I397" s="340"/>
      <c r="J397" s="67"/>
      <c r="K397" s="100" t="s">
        <v>4</v>
      </c>
      <c r="L397" s="510">
        <f>+L364</f>
        <v>0.61990000000000001</v>
      </c>
      <c r="M397" s="510"/>
      <c r="N397" s="510">
        <f>+N364</f>
        <v>0.23080000000000001</v>
      </c>
      <c r="O397" s="510"/>
      <c r="P397" s="510">
        <f>+P364</f>
        <v>2.9000000000000001E-2</v>
      </c>
      <c r="Q397" s="510"/>
      <c r="R397" s="510">
        <f>+R364</f>
        <v>0.06</v>
      </c>
      <c r="S397" s="510"/>
      <c r="T397" s="510">
        <f>+T364</f>
        <v>1.9599999999999999E-2</v>
      </c>
      <c r="U397" s="510"/>
      <c r="V397" s="510">
        <f>+V364</f>
        <v>2.1700000000000001E-2</v>
      </c>
      <c r="W397" s="510"/>
      <c r="X397" s="510">
        <f>+X364</f>
        <v>1.9E-2</v>
      </c>
      <c r="Y397" s="136"/>
      <c r="Z397" s="72">
        <f>SUM(L397:Y397)</f>
        <v>1</v>
      </c>
      <c r="AA397" t="str">
        <f t="shared" si="432"/>
        <v>ok</v>
      </c>
      <c r="AH397" s="115" t="s">
        <v>4</v>
      </c>
      <c r="AI397" s="114">
        <f>+AI364</f>
        <v>0.4123</v>
      </c>
      <c r="AJ397" s="114"/>
      <c r="AK397" s="114">
        <f>+AK364</f>
        <v>0.12429999999999999</v>
      </c>
      <c r="AL397" s="114"/>
      <c r="AM397" s="114">
        <f>+AM364</f>
        <v>5.96E-2</v>
      </c>
      <c r="AN397" s="114"/>
      <c r="AO397" s="114">
        <f>+AO364</f>
        <v>0.13220000000000001</v>
      </c>
      <c r="AP397" s="114"/>
      <c r="AQ397" s="114">
        <f>+AQ364</f>
        <v>2.5600000000000001E-2</v>
      </c>
      <c r="AR397" s="114"/>
      <c r="AS397" s="114">
        <f>+AS364</f>
        <v>0.16339999999999999</v>
      </c>
      <c r="AT397" s="114"/>
      <c r="AU397" s="114">
        <f>+AU364</f>
        <v>4.3400000000000001E-2</v>
      </c>
      <c r="AV397" s="114"/>
      <c r="AW397" s="114">
        <f>+AW364</f>
        <v>2.0199999999999999E-2</v>
      </c>
      <c r="AX397" s="114"/>
      <c r="AY397" s="114">
        <f>+AY364</f>
        <v>1.9E-2</v>
      </c>
      <c r="AZ397" s="114"/>
      <c r="BA397" s="114">
        <f t="shared" si="433"/>
        <v>0.99999999999999989</v>
      </c>
    </row>
    <row r="398" spans="2:53" x14ac:dyDescent="0.2">
      <c r="B398" s="693"/>
      <c r="C398" s="691"/>
      <c r="I398" s="340"/>
      <c r="J398" s="67"/>
      <c r="K398" s="100">
        <v>16</v>
      </c>
      <c r="L398" s="510">
        <f t="shared" ref="L398:X398" si="439">+L366</f>
        <v>0.61550000000000005</v>
      </c>
      <c r="M398" s="510">
        <f t="shared" si="439"/>
        <v>0</v>
      </c>
      <c r="N398" s="510">
        <f t="shared" si="439"/>
        <v>0.2366</v>
      </c>
      <c r="O398" s="510">
        <f t="shared" si="439"/>
        <v>0</v>
      </c>
      <c r="P398" s="510">
        <f t="shared" si="439"/>
        <v>2.8000000000000001E-2</v>
      </c>
      <c r="Q398" s="510">
        <f t="shared" si="439"/>
        <v>0</v>
      </c>
      <c r="R398" s="510">
        <f t="shared" si="439"/>
        <v>6.0999999999999999E-2</v>
      </c>
      <c r="S398" s="510">
        <f t="shared" si="439"/>
        <v>0</v>
      </c>
      <c r="T398" s="510">
        <f t="shared" si="439"/>
        <v>1.8800000000000001E-2</v>
      </c>
      <c r="U398" s="510">
        <f t="shared" si="439"/>
        <v>0</v>
      </c>
      <c r="V398" s="510">
        <f t="shared" si="439"/>
        <v>1.9300000000000001E-2</v>
      </c>
      <c r="W398" s="510">
        <f t="shared" si="439"/>
        <v>0</v>
      </c>
      <c r="X398" s="510">
        <f t="shared" si="439"/>
        <v>2.0799999999999999E-2</v>
      </c>
      <c r="Y398" s="136"/>
      <c r="Z398" s="72">
        <f t="shared" si="434"/>
        <v>1</v>
      </c>
      <c r="AA398" t="str">
        <f t="shared" si="432"/>
        <v>ok</v>
      </c>
      <c r="AH398" s="115">
        <v>16</v>
      </c>
      <c r="AI398" s="114">
        <f>+AI366</f>
        <v>0.32569999999999999</v>
      </c>
      <c r="AJ398" s="114">
        <f t="shared" ref="AJ398:AW398" si="440">+AJ366</f>
        <v>0</v>
      </c>
      <c r="AK398" s="114">
        <f t="shared" si="440"/>
        <v>0.2175</v>
      </c>
      <c r="AL398" s="114">
        <f t="shared" si="440"/>
        <v>0</v>
      </c>
      <c r="AM398" s="114">
        <f t="shared" si="440"/>
        <v>5.67E-2</v>
      </c>
      <c r="AN398" s="114">
        <f t="shared" si="440"/>
        <v>0</v>
      </c>
      <c r="AO398" s="114">
        <f t="shared" si="440"/>
        <v>0.22359999999999999</v>
      </c>
      <c r="AP398" s="114">
        <f t="shared" si="440"/>
        <v>0</v>
      </c>
      <c r="AQ398" s="114">
        <f t="shared" si="440"/>
        <v>4.7300000000000002E-2</v>
      </c>
      <c r="AR398" s="114">
        <f t="shared" si="440"/>
        <v>0</v>
      </c>
      <c r="AS398" s="114">
        <f t="shared" si="440"/>
        <v>9.8000000000000004E-2</v>
      </c>
      <c r="AT398" s="114">
        <f>+AT366</f>
        <v>0</v>
      </c>
      <c r="AU398" s="114">
        <f>+AU366</f>
        <v>-8.2000000000000007E-3</v>
      </c>
      <c r="AV398" s="114">
        <f t="shared" si="440"/>
        <v>0</v>
      </c>
      <c r="AW398" s="114">
        <f t="shared" si="440"/>
        <v>1.8599999999999998E-2</v>
      </c>
      <c r="AX398" s="114">
        <f>+AX366</f>
        <v>0</v>
      </c>
      <c r="AY398" s="114">
        <f>+AY366</f>
        <v>2.0799999999999999E-2</v>
      </c>
      <c r="AZ398" s="114"/>
      <c r="BA398" s="114">
        <f t="shared" si="433"/>
        <v>1</v>
      </c>
    </row>
    <row r="399" spans="2:53" x14ac:dyDescent="0.2">
      <c r="B399" s="693"/>
      <c r="C399" s="691"/>
      <c r="I399" s="340"/>
      <c r="J399" s="67"/>
      <c r="K399" s="100">
        <v>17</v>
      </c>
      <c r="L399" s="510">
        <f t="shared" ref="L399:X399" si="441">+L368</f>
        <v>0.50590000000000002</v>
      </c>
      <c r="M399" s="510">
        <f t="shared" si="441"/>
        <v>0</v>
      </c>
      <c r="N399" s="510">
        <f t="shared" si="441"/>
        <v>0.27579999999999999</v>
      </c>
      <c r="O399" s="510">
        <f t="shared" si="441"/>
        <v>0</v>
      </c>
      <c r="P399" s="510">
        <f t="shared" si="441"/>
        <v>2.9100000000000001E-2</v>
      </c>
      <c r="Q399" s="510">
        <f t="shared" si="441"/>
        <v>0</v>
      </c>
      <c r="R399" s="510">
        <f t="shared" si="441"/>
        <v>7.2700000000000001E-2</v>
      </c>
      <c r="S399" s="510">
        <f t="shared" si="441"/>
        <v>0</v>
      </c>
      <c r="T399" s="510">
        <f t="shared" si="441"/>
        <v>1.9400000000000001E-2</v>
      </c>
      <c r="U399" s="510">
        <f t="shared" si="441"/>
        <v>0</v>
      </c>
      <c r="V399" s="510">
        <f t="shared" si="441"/>
        <v>3.27E-2</v>
      </c>
      <c r="W399" s="510">
        <f t="shared" si="441"/>
        <v>0</v>
      </c>
      <c r="X399" s="510">
        <f t="shared" si="441"/>
        <v>6.4399999999999999E-2</v>
      </c>
      <c r="Y399" s="136"/>
      <c r="Z399" s="72">
        <f t="shared" si="434"/>
        <v>1</v>
      </c>
      <c r="AA399" t="str">
        <f t="shared" si="432"/>
        <v>ok</v>
      </c>
      <c r="AH399" s="115">
        <v>17</v>
      </c>
      <c r="AI399" s="114">
        <f>+AI368</f>
        <v>0.40789999999999998</v>
      </c>
      <c r="AJ399" s="114">
        <f t="shared" ref="AJ399:AW399" si="442">+AJ368</f>
        <v>0</v>
      </c>
      <c r="AK399" s="114">
        <f t="shared" si="442"/>
        <v>0.23469999999999999</v>
      </c>
      <c r="AL399" s="114">
        <f t="shared" si="442"/>
        <v>0</v>
      </c>
      <c r="AM399" s="114">
        <f t="shared" si="442"/>
        <v>0.14369999999999999</v>
      </c>
      <c r="AN399" s="114">
        <f t="shared" si="442"/>
        <v>0</v>
      </c>
      <c r="AO399" s="114">
        <f t="shared" si="442"/>
        <v>7.9000000000000001E-2</v>
      </c>
      <c r="AP399" s="114">
        <f t="shared" si="442"/>
        <v>0</v>
      </c>
      <c r="AQ399" s="114">
        <f t="shared" si="442"/>
        <v>1.8599999999999998E-2</v>
      </c>
      <c r="AR399" s="114">
        <f t="shared" si="442"/>
        <v>0</v>
      </c>
      <c r="AS399" s="114">
        <f t="shared" si="442"/>
        <v>1.47E-2</v>
      </c>
      <c r="AT399" s="114">
        <f>+AT368</f>
        <v>0</v>
      </c>
      <c r="AU399" s="114">
        <f>+AU368</f>
        <v>5.1999999999999998E-3</v>
      </c>
      <c r="AV399" s="114">
        <f t="shared" si="442"/>
        <v>0</v>
      </c>
      <c r="AW399" s="114">
        <f t="shared" si="442"/>
        <v>3.2199999999999999E-2</v>
      </c>
      <c r="AX399" s="114">
        <f>+AX368</f>
        <v>0</v>
      </c>
      <c r="AY399" s="114">
        <f>+AY368</f>
        <v>6.4000000000000001E-2</v>
      </c>
      <c r="AZ399" s="114"/>
      <c r="BA399" s="114">
        <f t="shared" si="433"/>
        <v>1</v>
      </c>
    </row>
    <row r="400" spans="2:53" x14ac:dyDescent="0.2">
      <c r="B400" s="693"/>
      <c r="C400" s="691"/>
      <c r="I400" s="340"/>
      <c r="J400" s="67"/>
      <c r="K400" s="100">
        <v>18</v>
      </c>
      <c r="L400" s="509">
        <f>+L370</f>
        <v>0.50700000000000001</v>
      </c>
      <c r="M400" s="509"/>
      <c r="N400" s="509">
        <f>+N370</f>
        <v>0.27529999999999999</v>
      </c>
      <c r="O400" s="509"/>
      <c r="P400" s="509">
        <f>+P370</f>
        <v>2.9100000000000001E-2</v>
      </c>
      <c r="Q400" s="509"/>
      <c r="R400" s="509">
        <f>+R370</f>
        <v>7.2599999999999998E-2</v>
      </c>
      <c r="S400" s="509"/>
      <c r="T400" s="509">
        <f>+T370</f>
        <v>1.9400000000000001E-2</v>
      </c>
      <c r="U400" s="509"/>
      <c r="V400" s="509">
        <f>+V370</f>
        <v>3.2599999999999997E-2</v>
      </c>
      <c r="W400" s="509"/>
      <c r="X400" s="509">
        <f>+X370</f>
        <v>6.4000000000000001E-2</v>
      </c>
      <c r="Y400" s="136"/>
      <c r="Z400" s="72">
        <f t="shared" si="434"/>
        <v>1</v>
      </c>
      <c r="AA400" t="str">
        <f t="shared" si="432"/>
        <v>ok</v>
      </c>
      <c r="AH400" s="115">
        <v>18</v>
      </c>
      <c r="AI400" s="114">
        <f>+AI370</f>
        <v>0.40799999999999997</v>
      </c>
      <c r="AJ400" s="114">
        <f t="shared" ref="AJ400:AW400" si="443">+AJ370</f>
        <v>0</v>
      </c>
      <c r="AK400" s="114">
        <f t="shared" si="443"/>
        <v>0.2336</v>
      </c>
      <c r="AL400" s="114">
        <f t="shared" si="443"/>
        <v>0</v>
      </c>
      <c r="AM400" s="114">
        <f t="shared" si="443"/>
        <v>0.14249999999999999</v>
      </c>
      <c r="AN400" s="114">
        <f t="shared" si="443"/>
        <v>0</v>
      </c>
      <c r="AO400" s="114">
        <f t="shared" si="443"/>
        <v>7.9600000000000004E-2</v>
      </c>
      <c r="AP400" s="114">
        <f t="shared" si="443"/>
        <v>0</v>
      </c>
      <c r="AQ400" s="114">
        <f t="shared" si="443"/>
        <v>1.8700000000000001E-2</v>
      </c>
      <c r="AR400" s="114">
        <f t="shared" si="443"/>
        <v>0</v>
      </c>
      <c r="AS400" s="114">
        <f t="shared" si="443"/>
        <v>1.6299999999999999E-2</v>
      </c>
      <c r="AT400" s="114">
        <f>+AT370</f>
        <v>0</v>
      </c>
      <c r="AU400" s="114">
        <f>+AU370</f>
        <v>5.7999999999999996E-3</v>
      </c>
      <c r="AV400" s="114">
        <f t="shared" si="443"/>
        <v>0</v>
      </c>
      <c r="AW400" s="114">
        <f t="shared" si="443"/>
        <v>3.2000000000000001E-2</v>
      </c>
      <c r="AX400" s="114">
        <f>+AX370</f>
        <v>0</v>
      </c>
      <c r="AY400" s="114">
        <f>+AY370</f>
        <v>6.3500000000000001E-2</v>
      </c>
      <c r="AZ400" s="114"/>
      <c r="BA400" s="114">
        <f t="shared" si="433"/>
        <v>1</v>
      </c>
    </row>
    <row r="401" spans="2:53" x14ac:dyDescent="0.2">
      <c r="B401" s="693"/>
      <c r="C401" s="691"/>
      <c r="I401" s="340"/>
      <c r="J401" s="67"/>
      <c r="K401" s="100">
        <v>19</v>
      </c>
      <c r="L401" s="509">
        <f>+L372</f>
        <v>0.55720000000000003</v>
      </c>
      <c r="M401" s="509"/>
      <c r="N401" s="509">
        <f>+N372</f>
        <v>0.25490000000000002</v>
      </c>
      <c r="O401" s="509"/>
      <c r="P401" s="509">
        <f>+P372</f>
        <v>2.8799999999999999E-2</v>
      </c>
      <c r="Q401" s="509"/>
      <c r="R401" s="509">
        <f>+R372</f>
        <v>6.6699999999999995E-2</v>
      </c>
      <c r="S401" s="509"/>
      <c r="T401" s="509">
        <f>+T372</f>
        <v>1.9300000000000001E-2</v>
      </c>
      <c r="U401" s="509"/>
      <c r="V401" s="509">
        <f>+V372</f>
        <v>2.7699999999999999E-2</v>
      </c>
      <c r="W401" s="509"/>
      <c r="X401" s="509">
        <f>+X372</f>
        <v>4.5400000000000003E-2</v>
      </c>
      <c r="Y401" s="136"/>
      <c r="Z401" s="72">
        <f t="shared" si="434"/>
        <v>1</v>
      </c>
      <c r="AA401" t="str">
        <f t="shared" si="432"/>
        <v>ok</v>
      </c>
      <c r="AH401" s="115">
        <v>19</v>
      </c>
      <c r="AI401" s="114">
        <f>+AI372</f>
        <v>0.3992</v>
      </c>
      <c r="AJ401" s="114">
        <f t="shared" ref="AJ401:AW401" si="444">+AJ372</f>
        <v>0</v>
      </c>
      <c r="AK401" s="114">
        <f t="shared" si="444"/>
        <v>0.193</v>
      </c>
      <c r="AL401" s="114">
        <f t="shared" si="444"/>
        <v>0</v>
      </c>
      <c r="AM401" s="114">
        <f t="shared" si="444"/>
        <v>0.1041</v>
      </c>
      <c r="AN401" s="114">
        <f t="shared" si="444"/>
        <v>0</v>
      </c>
      <c r="AO401" s="114">
        <f t="shared" si="444"/>
        <v>0.1101</v>
      </c>
      <c r="AP401" s="114">
        <f t="shared" si="444"/>
        <v>0</v>
      </c>
      <c r="AQ401" s="114">
        <f t="shared" si="444"/>
        <v>2.6599999999999999E-2</v>
      </c>
      <c r="AR401" s="114">
        <f t="shared" si="444"/>
        <v>0</v>
      </c>
      <c r="AS401" s="114">
        <f t="shared" si="444"/>
        <v>7.3899999999999993E-2</v>
      </c>
      <c r="AT401" s="114">
        <f>+AT372</f>
        <v>0</v>
      </c>
      <c r="AU401" s="114">
        <f>+AU372</f>
        <v>2.1100000000000001E-2</v>
      </c>
      <c r="AV401" s="114">
        <f t="shared" si="444"/>
        <v>0</v>
      </c>
      <c r="AW401" s="114">
        <f t="shared" si="444"/>
        <v>2.6800000000000001E-2</v>
      </c>
      <c r="AX401" s="114">
        <f>+AX372</f>
        <v>0</v>
      </c>
      <c r="AY401" s="114">
        <f>+AY372</f>
        <v>4.5199999999999997E-2</v>
      </c>
      <c r="AZ401" s="114"/>
      <c r="BA401" s="114">
        <f t="shared" si="433"/>
        <v>1</v>
      </c>
    </row>
    <row r="402" spans="2:53" x14ac:dyDescent="0.2">
      <c r="B402" s="693"/>
      <c r="C402" s="691"/>
      <c r="I402" s="340"/>
      <c r="J402" s="67"/>
      <c r="K402" s="100">
        <v>20</v>
      </c>
      <c r="L402" s="509">
        <f>+'F 15-20'!F144</f>
        <v>0.88260000000000005</v>
      </c>
      <c r="M402" s="509"/>
      <c r="N402" s="509">
        <f>+'F 15-20'!F145</f>
        <v>9.1800000000000007E-2</v>
      </c>
      <c r="O402" s="509"/>
      <c r="P402" s="509">
        <f>+'F 15-20'!F146</f>
        <v>0</v>
      </c>
      <c r="Q402" s="509"/>
      <c r="R402" s="509">
        <f>+'F 15-20'!F147</f>
        <v>1E-4</v>
      </c>
      <c r="S402" s="509"/>
      <c r="T402" s="509">
        <f>+'F 15-20'!F148</f>
        <v>0</v>
      </c>
      <c r="U402" s="509"/>
      <c r="V402" s="509">
        <f>+'F 15-20'!F149</f>
        <v>2.5499999999999998E-2</v>
      </c>
      <c r="W402" s="509"/>
      <c r="X402" s="509">
        <v>0</v>
      </c>
      <c r="Y402" s="72"/>
      <c r="Z402" s="72">
        <f t="shared" si="434"/>
        <v>1</v>
      </c>
      <c r="AA402" t="str">
        <f t="shared" si="432"/>
        <v>ok</v>
      </c>
      <c r="AH402" s="115">
        <v>20</v>
      </c>
      <c r="AI402" s="114"/>
      <c r="AJ402" s="114"/>
      <c r="AK402" s="114"/>
      <c r="AL402" s="114"/>
      <c r="AM402" s="114"/>
      <c r="AN402" s="114"/>
      <c r="AO402" s="114"/>
      <c r="AP402" s="114"/>
      <c r="AQ402" s="114"/>
      <c r="AR402" s="114"/>
      <c r="AS402" s="114">
        <v>0</v>
      </c>
      <c r="AT402" s="114"/>
      <c r="AU402" s="114">
        <v>1</v>
      </c>
      <c r="AV402" s="114"/>
      <c r="AW402" s="114"/>
      <c r="AX402" s="114"/>
      <c r="AY402" s="114"/>
      <c r="AZ402" s="114"/>
      <c r="BA402" s="114">
        <f t="shared" si="433"/>
        <v>1</v>
      </c>
    </row>
    <row r="403" spans="2:53" x14ac:dyDescent="0.2">
      <c r="B403" s="693"/>
      <c r="C403" s="691"/>
      <c r="I403" s="340"/>
      <c r="J403" s="67"/>
      <c r="K403"/>
      <c r="L403" s="73"/>
      <c r="M403" s="72"/>
      <c r="N403" s="72"/>
      <c r="O403" s="72"/>
      <c r="P403" s="72"/>
      <c r="Q403" s="72"/>
      <c r="R403" s="72"/>
      <c r="S403" s="72"/>
      <c r="T403" s="72"/>
      <c r="U403" s="72"/>
      <c r="V403" s="72"/>
      <c r="W403" s="72"/>
      <c r="X403" s="72"/>
      <c r="Y403" s="72"/>
      <c r="Z403" s="72"/>
      <c r="AH403" s="115"/>
      <c r="AI403" s="115"/>
      <c r="AJ403" s="115"/>
      <c r="AK403" s="115"/>
      <c r="AL403" s="115"/>
      <c r="AM403" s="115"/>
      <c r="AN403" s="115"/>
      <c r="AO403" s="115"/>
      <c r="AP403" s="115"/>
      <c r="AQ403" s="115"/>
      <c r="AR403" s="115"/>
      <c r="AS403" s="115"/>
      <c r="AT403" s="115"/>
      <c r="AU403" s="115"/>
      <c r="AV403" s="115"/>
      <c r="AW403" s="115"/>
      <c r="AX403" s="115"/>
      <c r="AY403" s="115"/>
      <c r="AZ403" s="115"/>
      <c r="BA403" s="115"/>
    </row>
    <row r="404" spans="2:53" x14ac:dyDescent="0.2">
      <c r="B404" s="693"/>
      <c r="C404" s="691"/>
      <c r="I404" s="340"/>
      <c r="J404" s="67"/>
      <c r="K404"/>
      <c r="L404" s="73"/>
      <c r="M404" s="72"/>
      <c r="N404" s="72"/>
      <c r="O404" s="72"/>
      <c r="P404" s="72"/>
      <c r="Q404" s="72"/>
      <c r="R404" s="72"/>
      <c r="S404" s="72"/>
      <c r="T404" s="72"/>
      <c r="U404" s="72"/>
      <c r="V404" s="72"/>
      <c r="W404" s="72"/>
      <c r="X404" s="72"/>
      <c r="Y404" s="72"/>
      <c r="Z404" s="72"/>
    </row>
    <row r="405" spans="2:53" x14ac:dyDescent="0.2">
      <c r="B405" s="693"/>
      <c r="C405" s="691"/>
      <c r="I405" s="340"/>
      <c r="J405" s="67"/>
      <c r="K405"/>
      <c r="L405" s="73"/>
      <c r="M405" s="72"/>
      <c r="N405" s="72"/>
      <c r="O405" s="72"/>
      <c r="P405" s="72"/>
      <c r="Q405" s="72"/>
      <c r="R405" s="72"/>
      <c r="S405" s="72"/>
      <c r="T405" s="72"/>
      <c r="U405" s="72"/>
      <c r="V405" s="72"/>
      <c r="W405" s="72"/>
      <c r="X405" s="72"/>
      <c r="Y405" s="72"/>
      <c r="Z405" s="72"/>
    </row>
    <row r="406" spans="2:53" x14ac:dyDescent="0.2">
      <c r="B406" s="693"/>
      <c r="C406" s="691"/>
      <c r="I406" s="340"/>
      <c r="J406" s="67"/>
      <c r="K406" s="100"/>
      <c r="L406" s="73"/>
      <c r="M406" s="72"/>
      <c r="N406" s="72"/>
      <c r="O406" s="72"/>
      <c r="P406" s="72"/>
      <c r="Q406" s="72"/>
      <c r="R406" s="72"/>
      <c r="S406" s="72"/>
      <c r="T406" s="72"/>
      <c r="U406" s="72"/>
      <c r="V406" s="72"/>
      <c r="W406" s="72"/>
      <c r="X406" s="72"/>
      <c r="Y406" s="72"/>
      <c r="Z406" s="72"/>
    </row>
    <row r="407" spans="2:53" x14ac:dyDescent="0.2">
      <c r="B407" s="693"/>
      <c r="C407" s="691"/>
      <c r="I407" s="340"/>
      <c r="J407" s="340"/>
      <c r="K407" s="100"/>
      <c r="L407" s="73"/>
      <c r="M407" s="72"/>
      <c r="N407" s="72"/>
      <c r="O407" s="72"/>
      <c r="P407" s="72"/>
      <c r="Q407" s="72"/>
      <c r="R407" s="72"/>
      <c r="S407" s="72"/>
      <c r="T407" s="72"/>
      <c r="U407" s="72"/>
      <c r="V407" s="72"/>
      <c r="W407" s="72"/>
      <c r="X407" s="72"/>
      <c r="Y407" s="72"/>
      <c r="Z407" s="72"/>
    </row>
    <row r="408" spans="2:53" x14ac:dyDescent="0.2">
      <c r="B408" s="693"/>
      <c r="C408" s="691"/>
      <c r="I408" s="340"/>
      <c r="J408" s="340"/>
      <c r="K408" s="100"/>
      <c r="L408" s="73"/>
      <c r="M408" s="72"/>
      <c r="N408" s="72"/>
      <c r="O408" s="72"/>
      <c r="P408" s="72"/>
      <c r="Q408" s="72"/>
      <c r="R408" s="72"/>
      <c r="S408" s="72"/>
      <c r="T408" s="72"/>
      <c r="U408" s="72"/>
      <c r="V408" s="72"/>
      <c r="W408" s="72"/>
      <c r="X408" s="72"/>
      <c r="Y408" s="72"/>
      <c r="Z408" s="72"/>
    </row>
    <row r="409" spans="2:53" x14ac:dyDescent="0.2">
      <c r="B409" s="693"/>
      <c r="C409" s="691"/>
      <c r="I409" s="340"/>
      <c r="J409" s="340"/>
      <c r="K409" s="100"/>
      <c r="L409" s="73"/>
      <c r="M409" s="72"/>
      <c r="N409" s="72"/>
      <c r="O409" s="72"/>
      <c r="P409" s="72"/>
      <c r="Q409" s="72"/>
      <c r="R409" s="72"/>
      <c r="S409" s="72"/>
      <c r="T409" s="72"/>
      <c r="U409" s="72"/>
      <c r="V409" s="72"/>
      <c r="W409" s="72"/>
      <c r="X409" s="72"/>
      <c r="Y409" s="72"/>
      <c r="Z409" s="72"/>
    </row>
    <row r="410" spans="2:53" x14ac:dyDescent="0.2">
      <c r="B410" s="693"/>
      <c r="C410" s="691"/>
      <c r="I410" s="340"/>
      <c r="J410" s="340"/>
      <c r="K410" s="100"/>
      <c r="L410" s="73"/>
      <c r="M410" s="72"/>
      <c r="N410" s="72"/>
      <c r="O410" s="72"/>
      <c r="P410" s="72"/>
      <c r="Q410" s="72"/>
      <c r="R410" s="72"/>
      <c r="S410" s="72"/>
      <c r="T410" s="72"/>
      <c r="U410" s="72"/>
      <c r="V410" s="72"/>
      <c r="W410" s="72"/>
      <c r="X410" s="72"/>
      <c r="Y410" s="72"/>
      <c r="Z410" s="72"/>
    </row>
    <row r="411" spans="2:53" x14ac:dyDescent="0.2">
      <c r="B411" s="693"/>
      <c r="C411" s="691"/>
      <c r="I411" s="340"/>
      <c r="J411" s="340"/>
      <c r="K411" s="100"/>
      <c r="L411" s="73"/>
      <c r="M411" s="72"/>
      <c r="N411" s="72"/>
      <c r="O411" s="72"/>
      <c r="P411" s="72"/>
      <c r="Q411" s="72"/>
      <c r="R411" s="72"/>
      <c r="S411" s="72"/>
      <c r="T411" s="72"/>
      <c r="U411" s="72"/>
      <c r="V411" s="72"/>
      <c r="W411" s="72"/>
      <c r="X411" s="72"/>
      <c r="Y411" s="72"/>
      <c r="Z411" s="72"/>
    </row>
    <row r="412" spans="2:53" x14ac:dyDescent="0.2">
      <c r="B412" s="693"/>
      <c r="C412" s="691"/>
      <c r="I412" s="340"/>
      <c r="J412" s="340"/>
      <c r="K412" s="100"/>
      <c r="L412" s="73"/>
      <c r="M412" s="72"/>
      <c r="N412" s="72"/>
      <c r="O412" s="72"/>
      <c r="P412" s="72"/>
      <c r="Q412" s="72"/>
      <c r="R412" s="72"/>
      <c r="S412" s="72"/>
      <c r="T412" s="72"/>
      <c r="U412" s="72"/>
      <c r="V412" s="72"/>
      <c r="W412" s="72"/>
      <c r="X412" s="72"/>
      <c r="Y412" s="72"/>
      <c r="Z412" s="72"/>
    </row>
    <row r="413" spans="2:53" x14ac:dyDescent="0.2">
      <c r="B413" s="693"/>
      <c r="C413" s="691"/>
      <c r="I413" s="340"/>
      <c r="J413" s="73"/>
      <c r="K413" s="133"/>
      <c r="L413" s="73"/>
      <c r="M413" s="71"/>
      <c r="N413" s="71"/>
      <c r="O413" s="71"/>
      <c r="P413" s="71"/>
      <c r="Q413" s="71"/>
      <c r="R413" s="71"/>
      <c r="S413" s="71"/>
      <c r="T413" s="71"/>
      <c r="U413" s="71"/>
      <c r="V413" s="71"/>
      <c r="W413" s="71"/>
      <c r="X413" s="71"/>
      <c r="Y413" s="71"/>
      <c r="Z413" s="71"/>
    </row>
    <row r="414" spans="2:53" x14ac:dyDescent="0.2">
      <c r="B414" s="693"/>
      <c r="C414" s="691"/>
      <c r="I414" s="340"/>
      <c r="J414" s="67"/>
      <c r="AA414" s="73"/>
      <c r="AB414" s="71"/>
      <c r="AC414" s="169"/>
      <c r="AD414" s="71"/>
      <c r="AE414" s="71"/>
      <c r="AF414" s="71"/>
      <c r="AG414" s="71"/>
      <c r="AH414" s="71"/>
      <c r="AI414" s="71"/>
      <c r="AJ414" s="71"/>
      <c r="AK414" s="71"/>
      <c r="AL414" s="71"/>
      <c r="AM414" s="71"/>
      <c r="AN414" s="71"/>
      <c r="AO414" s="71"/>
    </row>
    <row r="415" spans="2:53" x14ac:dyDescent="0.2">
      <c r="B415" s="693"/>
      <c r="C415" s="691"/>
      <c r="I415" s="340"/>
      <c r="J415" s="67"/>
      <c r="AA415" s="69"/>
    </row>
    <row r="416" spans="2:53" x14ac:dyDescent="0.2">
      <c r="B416" s="693"/>
      <c r="C416" s="691"/>
      <c r="I416" s="340"/>
      <c r="J416" s="67"/>
      <c r="AA416" s="69"/>
    </row>
    <row r="417" spans="2:27" x14ac:dyDescent="0.2">
      <c r="B417" s="693"/>
      <c r="C417" s="691"/>
      <c r="I417" s="340"/>
      <c r="J417" s="67"/>
      <c r="AA417" s="69"/>
    </row>
    <row r="418" spans="2:27" x14ac:dyDescent="0.2">
      <c r="B418" s="693"/>
      <c r="C418" s="691"/>
      <c r="I418" s="340"/>
      <c r="J418" s="67"/>
      <c r="AA418" s="69"/>
    </row>
    <row r="419" spans="2:27" x14ac:dyDescent="0.2">
      <c r="B419" s="693"/>
      <c r="C419" s="691"/>
      <c r="I419" s="340"/>
      <c r="J419" s="67"/>
      <c r="AA419" s="69"/>
    </row>
    <row r="420" spans="2:27" x14ac:dyDescent="0.2">
      <c r="B420" s="693"/>
      <c r="C420" s="691"/>
      <c r="I420" s="340"/>
      <c r="J420" s="67"/>
      <c r="AA420" s="69"/>
    </row>
    <row r="421" spans="2:27" x14ac:dyDescent="0.2">
      <c r="B421" s="693"/>
      <c r="C421" s="691"/>
      <c r="I421" s="340"/>
      <c r="J421" s="67"/>
      <c r="AA421" s="69"/>
    </row>
    <row r="422" spans="2:27" x14ac:dyDescent="0.2">
      <c r="B422" s="693"/>
      <c r="C422" s="691"/>
      <c r="I422" s="340"/>
      <c r="J422" s="67"/>
      <c r="AA422" s="69"/>
    </row>
    <row r="423" spans="2:27" x14ac:dyDescent="0.2">
      <c r="B423" s="693"/>
      <c r="C423" s="691"/>
      <c r="I423" s="340"/>
      <c r="J423" s="67"/>
      <c r="AA423" s="69"/>
    </row>
    <row r="424" spans="2:27" x14ac:dyDescent="0.2">
      <c r="B424" s="693"/>
      <c r="C424" s="691"/>
      <c r="I424" s="340"/>
      <c r="J424" s="67"/>
      <c r="AA424" s="69"/>
    </row>
    <row r="425" spans="2:27" x14ac:dyDescent="0.2">
      <c r="B425" s="693"/>
      <c r="C425" s="691"/>
      <c r="I425" s="340"/>
      <c r="J425" s="67"/>
      <c r="AA425" s="69"/>
    </row>
    <row r="426" spans="2:27" x14ac:dyDescent="0.2">
      <c r="B426" s="693"/>
      <c r="C426" s="691"/>
      <c r="I426" s="340"/>
      <c r="J426" s="67"/>
      <c r="AA426" s="69"/>
    </row>
    <row r="427" spans="2:27" x14ac:dyDescent="0.2">
      <c r="B427" s="693"/>
      <c r="C427" s="691"/>
      <c r="I427" s="340"/>
      <c r="J427" s="67"/>
      <c r="AA427" s="69"/>
    </row>
    <row r="428" spans="2:27" x14ac:dyDescent="0.2">
      <c r="B428" s="693"/>
      <c r="C428" s="691"/>
      <c r="I428" s="340"/>
      <c r="J428" s="67"/>
      <c r="AA428" s="69"/>
    </row>
    <row r="429" spans="2:27" x14ac:dyDescent="0.2">
      <c r="B429" s="693"/>
      <c r="C429" s="691"/>
      <c r="I429" s="340"/>
      <c r="J429" s="67"/>
      <c r="AA429" s="69"/>
    </row>
    <row r="430" spans="2:27" x14ac:dyDescent="0.2">
      <c r="B430" s="693"/>
      <c r="C430" s="691"/>
      <c r="I430" s="340"/>
      <c r="J430" s="67"/>
      <c r="AA430" s="69"/>
    </row>
    <row r="431" spans="2:27" x14ac:dyDescent="0.2">
      <c r="B431" s="693"/>
      <c r="C431" s="691"/>
      <c r="I431" s="340"/>
      <c r="J431" s="67"/>
      <c r="AA431" s="69"/>
    </row>
    <row r="432" spans="2:27" x14ac:dyDescent="0.2">
      <c r="B432" s="693"/>
      <c r="C432" s="691"/>
      <c r="I432" s="340"/>
      <c r="J432" s="67"/>
      <c r="AA432" s="69"/>
    </row>
    <row r="433" spans="2:27" x14ac:dyDescent="0.2">
      <c r="B433" s="693"/>
      <c r="C433" s="691"/>
      <c r="I433" s="340"/>
      <c r="J433" s="67"/>
      <c r="AA433" s="69"/>
    </row>
    <row r="434" spans="2:27" x14ac:dyDescent="0.2">
      <c r="B434" s="693"/>
      <c r="C434" s="691"/>
      <c r="I434" s="340"/>
      <c r="J434" s="67"/>
      <c r="AA434" s="69"/>
    </row>
    <row r="435" spans="2:27" x14ac:dyDescent="0.2">
      <c r="B435" s="693"/>
      <c r="C435" s="691"/>
      <c r="I435" s="340"/>
      <c r="J435" s="67"/>
      <c r="AA435" s="67"/>
    </row>
    <row r="436" spans="2:27" x14ac:dyDescent="0.2">
      <c r="B436" s="693"/>
      <c r="C436" s="691"/>
      <c r="I436" s="340"/>
      <c r="J436" s="67"/>
      <c r="AA436" s="67"/>
    </row>
    <row r="437" spans="2:27" x14ac:dyDescent="0.2">
      <c r="B437" s="693"/>
      <c r="C437" s="691"/>
      <c r="I437" s="340"/>
      <c r="J437" s="67"/>
      <c r="AA437" s="67"/>
    </row>
    <row r="438" spans="2:27" x14ac:dyDescent="0.2">
      <c r="B438" s="693"/>
      <c r="C438" s="691"/>
      <c r="I438" s="340"/>
      <c r="J438" s="67"/>
      <c r="AA438" s="67"/>
    </row>
    <row r="439" spans="2:27" x14ac:dyDescent="0.2">
      <c r="B439" s="693"/>
      <c r="C439" s="691"/>
      <c r="I439" s="340"/>
      <c r="J439" s="67"/>
      <c r="AA439" s="67"/>
    </row>
    <row r="440" spans="2:27" x14ac:dyDescent="0.2">
      <c r="B440" s="693"/>
      <c r="C440" s="691"/>
      <c r="I440" s="340"/>
      <c r="J440" s="67"/>
      <c r="AA440" s="67"/>
    </row>
    <row r="441" spans="2:27" x14ac:dyDescent="0.2">
      <c r="B441" s="693"/>
      <c r="C441" s="691"/>
      <c r="I441" s="340"/>
      <c r="J441" s="67"/>
      <c r="AA441" s="67"/>
    </row>
    <row r="442" spans="2:27" x14ac:dyDescent="0.2">
      <c r="B442" s="693"/>
      <c r="C442" s="691"/>
      <c r="I442" s="340"/>
      <c r="J442" s="67"/>
      <c r="AA442" s="67"/>
    </row>
    <row r="443" spans="2:27" x14ac:dyDescent="0.2">
      <c r="B443" s="693"/>
      <c r="C443" s="691"/>
      <c r="I443" s="340"/>
      <c r="J443" s="67"/>
      <c r="AA443" s="67"/>
    </row>
    <row r="444" spans="2:27" x14ac:dyDescent="0.2">
      <c r="B444" s="693"/>
      <c r="C444" s="691"/>
      <c r="I444" s="340"/>
      <c r="J444" s="67"/>
      <c r="AA444" s="67"/>
    </row>
    <row r="445" spans="2:27" x14ac:dyDescent="0.2">
      <c r="B445" s="693"/>
      <c r="C445" s="691"/>
      <c r="I445" s="340"/>
      <c r="J445" s="67"/>
      <c r="AA445" s="67"/>
    </row>
    <row r="446" spans="2:27" x14ac:dyDescent="0.2">
      <c r="B446" s="693"/>
      <c r="C446" s="691"/>
      <c r="I446" s="340"/>
      <c r="J446" s="67"/>
      <c r="AA446" s="67"/>
    </row>
    <row r="447" spans="2:27" x14ac:dyDescent="0.2">
      <c r="B447" s="693"/>
      <c r="C447" s="691"/>
      <c r="I447" s="340"/>
      <c r="J447" s="67"/>
      <c r="AA447" s="67"/>
    </row>
    <row r="448" spans="2:27" x14ac:dyDescent="0.2">
      <c r="B448" s="693"/>
      <c r="C448" s="691"/>
      <c r="I448" s="340"/>
      <c r="J448" s="67"/>
      <c r="AA448" s="67"/>
    </row>
    <row r="449" spans="2:27" x14ac:dyDescent="0.2">
      <c r="B449" s="693"/>
      <c r="C449" s="691"/>
      <c r="I449" s="340"/>
      <c r="J449" s="67"/>
      <c r="AA449" s="67"/>
    </row>
    <row r="450" spans="2:27" x14ac:dyDescent="0.2">
      <c r="B450" s="693"/>
      <c r="C450" s="691"/>
      <c r="I450" s="340"/>
      <c r="J450" s="67"/>
      <c r="AA450" s="67"/>
    </row>
    <row r="451" spans="2:27" x14ac:dyDescent="0.2">
      <c r="B451" s="693"/>
      <c r="C451" s="691"/>
      <c r="I451" s="340"/>
      <c r="J451" s="67"/>
      <c r="AA451" s="67"/>
    </row>
    <row r="452" spans="2:27" x14ac:dyDescent="0.2">
      <c r="B452" s="693"/>
      <c r="C452" s="691"/>
      <c r="I452" s="340"/>
      <c r="J452" s="67"/>
      <c r="AA452" s="67"/>
    </row>
    <row r="453" spans="2:27" x14ac:dyDescent="0.2">
      <c r="B453" s="693"/>
      <c r="C453" s="691"/>
      <c r="I453" s="340"/>
      <c r="J453" s="67"/>
      <c r="AA453" s="67"/>
    </row>
    <row r="454" spans="2:27" x14ac:dyDescent="0.2">
      <c r="B454" s="693"/>
      <c r="C454" s="691"/>
      <c r="I454" s="340"/>
      <c r="J454" s="67"/>
      <c r="AA454" s="67"/>
    </row>
    <row r="455" spans="2:27" x14ac:dyDescent="0.2">
      <c r="B455" s="693"/>
      <c r="C455" s="691"/>
      <c r="I455" s="340"/>
      <c r="J455" s="67"/>
      <c r="AA455" s="67"/>
    </row>
    <row r="456" spans="2:27" x14ac:dyDescent="0.2">
      <c r="B456" s="693"/>
      <c r="C456" s="691"/>
      <c r="I456" s="340"/>
      <c r="J456" s="67"/>
      <c r="AA456" s="67"/>
    </row>
    <row r="457" spans="2:27" x14ac:dyDescent="0.2">
      <c r="B457" s="693"/>
      <c r="C457" s="691"/>
      <c r="I457" s="340"/>
      <c r="J457" s="67"/>
      <c r="AA457" s="67"/>
    </row>
    <row r="458" spans="2:27" x14ac:dyDescent="0.2">
      <c r="B458" s="693"/>
      <c r="C458" s="691"/>
      <c r="I458" s="340"/>
      <c r="J458" s="67"/>
      <c r="AA458" s="67"/>
    </row>
    <row r="459" spans="2:27" x14ac:dyDescent="0.2">
      <c r="B459" s="693"/>
      <c r="C459" s="691"/>
      <c r="I459" s="340"/>
      <c r="J459" s="67"/>
      <c r="AA459" s="67"/>
    </row>
    <row r="460" spans="2:27" x14ac:dyDescent="0.2">
      <c r="B460" s="693"/>
      <c r="C460" s="691"/>
      <c r="I460" s="340"/>
      <c r="J460" s="67"/>
      <c r="AA460" s="67"/>
    </row>
    <row r="461" spans="2:27" x14ac:dyDescent="0.2">
      <c r="B461" s="693"/>
      <c r="C461" s="691"/>
      <c r="I461" s="340"/>
      <c r="J461" s="67"/>
      <c r="AA461" s="67"/>
    </row>
    <row r="462" spans="2:27" x14ac:dyDescent="0.2">
      <c r="B462" s="693"/>
      <c r="C462" s="691"/>
      <c r="I462" s="340"/>
      <c r="J462" s="67"/>
      <c r="AA462" s="67"/>
    </row>
    <row r="463" spans="2:27" x14ac:dyDescent="0.2">
      <c r="B463" s="693"/>
      <c r="C463" s="691"/>
      <c r="I463" s="340"/>
      <c r="J463" s="67"/>
      <c r="AA463" s="67"/>
    </row>
    <row r="464" spans="2:27" x14ac:dyDescent="0.2">
      <c r="B464" s="693"/>
      <c r="C464" s="691"/>
      <c r="I464" s="340"/>
      <c r="J464" s="67"/>
      <c r="AA464" s="67"/>
    </row>
    <row r="465" spans="2:27" x14ac:dyDescent="0.2">
      <c r="B465" s="693"/>
      <c r="C465" s="691"/>
      <c r="I465" s="340"/>
      <c r="J465" s="67"/>
      <c r="AA465" s="67"/>
    </row>
    <row r="466" spans="2:27" x14ac:dyDescent="0.2">
      <c r="B466" s="693"/>
      <c r="C466" s="691"/>
      <c r="I466" s="340"/>
      <c r="J466" s="67"/>
      <c r="AA466" s="67"/>
    </row>
    <row r="467" spans="2:27" x14ac:dyDescent="0.2">
      <c r="B467" s="693"/>
      <c r="C467" s="691"/>
      <c r="I467" s="340"/>
      <c r="J467" s="67"/>
      <c r="AA467" s="67"/>
    </row>
    <row r="468" spans="2:27" x14ac:dyDescent="0.2">
      <c r="B468" s="693"/>
      <c r="C468" s="691"/>
      <c r="I468" s="340"/>
      <c r="J468" s="67"/>
      <c r="AA468" s="67"/>
    </row>
    <row r="469" spans="2:27" x14ac:dyDescent="0.2">
      <c r="B469" s="693"/>
      <c r="C469" s="691"/>
      <c r="I469" s="340"/>
      <c r="J469" s="67"/>
      <c r="AA469" s="67"/>
    </row>
    <row r="470" spans="2:27" x14ac:dyDescent="0.2">
      <c r="B470" s="693"/>
      <c r="C470" s="691"/>
      <c r="I470" s="340"/>
      <c r="J470" s="67"/>
      <c r="AA470" s="67"/>
    </row>
    <row r="471" spans="2:27" x14ac:dyDescent="0.2">
      <c r="B471" s="693"/>
      <c r="C471" s="691"/>
      <c r="I471" s="340"/>
      <c r="J471" s="67"/>
      <c r="AA471" s="67"/>
    </row>
    <row r="472" spans="2:27" x14ac:dyDescent="0.2">
      <c r="B472" s="693"/>
      <c r="C472" s="691"/>
      <c r="I472" s="340"/>
      <c r="J472" s="67"/>
      <c r="AA472" s="67"/>
    </row>
    <row r="473" spans="2:27" x14ac:dyDescent="0.2">
      <c r="B473" s="693"/>
      <c r="C473" s="691"/>
      <c r="I473" s="340"/>
      <c r="J473" s="67"/>
      <c r="AA473" s="67"/>
    </row>
    <row r="474" spans="2:27" x14ac:dyDescent="0.2">
      <c r="B474" s="693"/>
      <c r="C474" s="691"/>
      <c r="I474" s="340"/>
      <c r="J474" s="67"/>
      <c r="AA474" s="67"/>
    </row>
    <row r="475" spans="2:27" x14ac:dyDescent="0.2">
      <c r="B475" s="693"/>
      <c r="C475" s="691"/>
      <c r="I475" s="340"/>
      <c r="J475" s="67"/>
      <c r="AA475" s="67"/>
    </row>
    <row r="476" spans="2:27" x14ac:dyDescent="0.2">
      <c r="B476" s="693"/>
      <c r="C476" s="691"/>
      <c r="I476" s="340"/>
      <c r="J476" s="67"/>
      <c r="AA476" s="67"/>
    </row>
    <row r="477" spans="2:27" x14ac:dyDescent="0.2">
      <c r="B477" s="693"/>
      <c r="C477" s="691"/>
      <c r="I477" s="340"/>
      <c r="J477" s="67"/>
      <c r="AA477" s="67"/>
    </row>
    <row r="478" spans="2:27" x14ac:dyDescent="0.2">
      <c r="B478" s="693"/>
      <c r="C478" s="691"/>
      <c r="I478" s="340"/>
      <c r="J478" s="67"/>
      <c r="AA478" s="67"/>
    </row>
    <row r="479" spans="2:27" x14ac:dyDescent="0.2">
      <c r="B479" s="693"/>
      <c r="C479" s="691"/>
      <c r="I479" s="340"/>
      <c r="J479" s="67"/>
      <c r="AA479" s="67"/>
    </row>
    <row r="480" spans="2:27" x14ac:dyDescent="0.2">
      <c r="B480" s="693"/>
      <c r="C480" s="691"/>
      <c r="I480" s="340"/>
      <c r="J480" s="67"/>
      <c r="AA480" s="67"/>
    </row>
    <row r="481" spans="2:27" x14ac:dyDescent="0.2">
      <c r="B481" s="693"/>
      <c r="C481" s="691"/>
      <c r="I481" s="340"/>
      <c r="J481" s="67"/>
      <c r="AA481" s="67"/>
    </row>
    <row r="482" spans="2:27" x14ac:dyDescent="0.2">
      <c r="B482" s="693"/>
      <c r="C482" s="691"/>
      <c r="I482" s="340"/>
      <c r="J482" s="67"/>
      <c r="AA482" s="67"/>
    </row>
    <row r="483" spans="2:27" x14ac:dyDescent="0.2">
      <c r="B483" s="693"/>
      <c r="C483" s="691"/>
      <c r="I483" s="340"/>
      <c r="J483" s="67"/>
      <c r="AA483" s="67"/>
    </row>
    <row r="484" spans="2:27" x14ac:dyDescent="0.2">
      <c r="B484" s="693"/>
      <c r="C484" s="691"/>
      <c r="I484" s="340"/>
      <c r="J484" s="67"/>
      <c r="AA484" s="67"/>
    </row>
    <row r="485" spans="2:27" x14ac:dyDescent="0.2">
      <c r="B485" s="693"/>
      <c r="C485" s="691"/>
      <c r="I485" s="340"/>
      <c r="J485" s="67"/>
      <c r="AA485" s="67"/>
    </row>
    <row r="486" spans="2:27" x14ac:dyDescent="0.2">
      <c r="B486" s="693"/>
      <c r="C486" s="691"/>
      <c r="AA486" s="67"/>
    </row>
    <row r="487" spans="2:27" x14ac:dyDescent="0.2">
      <c r="B487" s="693"/>
      <c r="C487" s="691"/>
      <c r="AA487" s="67"/>
    </row>
    <row r="488" spans="2:27" x14ac:dyDescent="0.2">
      <c r="B488" s="693"/>
      <c r="C488" s="691"/>
      <c r="AA488" s="67"/>
    </row>
    <row r="489" spans="2:27" x14ac:dyDescent="0.2">
      <c r="B489" s="693"/>
      <c r="C489" s="691"/>
      <c r="AA489" s="67"/>
    </row>
    <row r="490" spans="2:27" x14ac:dyDescent="0.2">
      <c r="B490" s="693"/>
      <c r="C490" s="691"/>
      <c r="AA490" s="67"/>
    </row>
    <row r="491" spans="2:27" x14ac:dyDescent="0.2">
      <c r="B491" s="693"/>
      <c r="C491" s="691"/>
      <c r="AA491" s="67"/>
    </row>
    <row r="492" spans="2:27" x14ac:dyDescent="0.2">
      <c r="B492" s="693"/>
      <c r="C492" s="691"/>
      <c r="AA492" s="67"/>
    </row>
    <row r="493" spans="2:27" x14ac:dyDescent="0.2">
      <c r="B493" s="693"/>
      <c r="C493" s="691"/>
      <c r="AA493" s="67"/>
    </row>
    <row r="494" spans="2:27" x14ac:dyDescent="0.2">
      <c r="B494" s="693"/>
      <c r="C494" s="691"/>
      <c r="AA494" s="67"/>
    </row>
    <row r="495" spans="2:27" x14ac:dyDescent="0.2">
      <c r="B495" s="693"/>
      <c r="C495" s="691"/>
      <c r="AA495" s="67"/>
    </row>
    <row r="496" spans="2:27" x14ac:dyDescent="0.2">
      <c r="B496" s="693"/>
      <c r="C496" s="691"/>
      <c r="AA496" s="67"/>
    </row>
    <row r="497" spans="2:27" x14ac:dyDescent="0.2">
      <c r="B497" s="693"/>
      <c r="C497" s="691"/>
      <c r="AA497" s="67"/>
    </row>
    <row r="498" spans="2:27" x14ac:dyDescent="0.2">
      <c r="B498" s="693"/>
      <c r="C498" s="691"/>
      <c r="AA498" s="67"/>
    </row>
    <row r="499" spans="2:27" x14ac:dyDescent="0.2">
      <c r="B499" s="693"/>
      <c r="C499" s="691"/>
      <c r="AA499" s="67"/>
    </row>
    <row r="500" spans="2:27" x14ac:dyDescent="0.2">
      <c r="B500" s="693"/>
      <c r="C500" s="691"/>
      <c r="AA500" s="67"/>
    </row>
    <row r="501" spans="2:27" x14ac:dyDescent="0.2">
      <c r="B501" s="693"/>
      <c r="C501" s="691"/>
      <c r="AA501" s="67"/>
    </row>
    <row r="502" spans="2:27" x14ac:dyDescent="0.2">
      <c r="B502" s="693"/>
      <c r="C502" s="691"/>
      <c r="AA502" s="67"/>
    </row>
    <row r="503" spans="2:27" x14ac:dyDescent="0.2">
      <c r="B503" s="693"/>
      <c r="C503" s="691"/>
      <c r="AA503" s="67"/>
    </row>
    <row r="504" spans="2:27" x14ac:dyDescent="0.2">
      <c r="B504" s="693"/>
      <c r="C504" s="691"/>
      <c r="AA504" s="67"/>
    </row>
    <row r="505" spans="2:27" x14ac:dyDescent="0.2">
      <c r="B505" s="693"/>
      <c r="C505" s="691"/>
      <c r="AA505" s="67"/>
    </row>
    <row r="506" spans="2:27" x14ac:dyDescent="0.2">
      <c r="B506" s="693"/>
      <c r="C506" s="691"/>
      <c r="AA506" s="67"/>
    </row>
    <row r="507" spans="2:27" x14ac:dyDescent="0.2">
      <c r="B507" s="693"/>
      <c r="C507" s="691"/>
      <c r="AA507" s="67"/>
    </row>
    <row r="508" spans="2:27" x14ac:dyDescent="0.2">
      <c r="B508" s="693"/>
      <c r="C508" s="691"/>
      <c r="AA508" s="67"/>
    </row>
    <row r="509" spans="2:27" x14ac:dyDescent="0.2">
      <c r="B509" s="693"/>
      <c r="C509" s="691"/>
      <c r="AA509" s="67"/>
    </row>
    <row r="510" spans="2:27" x14ac:dyDescent="0.2">
      <c r="B510" s="693"/>
      <c r="C510" s="691"/>
      <c r="AA510" s="67"/>
    </row>
    <row r="511" spans="2:27" x14ac:dyDescent="0.2">
      <c r="B511" s="693"/>
      <c r="C511" s="691"/>
      <c r="AA511" s="67"/>
    </row>
    <row r="512" spans="2:27" x14ac:dyDescent="0.2">
      <c r="B512" s="693"/>
      <c r="C512" s="691"/>
      <c r="AA512" s="67"/>
    </row>
    <row r="513" spans="2:27" x14ac:dyDescent="0.2">
      <c r="B513" s="693"/>
      <c r="C513" s="691"/>
      <c r="AA513" s="67"/>
    </row>
    <row r="514" spans="2:27" x14ac:dyDescent="0.2">
      <c r="B514" s="693"/>
      <c r="C514" s="691"/>
      <c r="AA514" s="67"/>
    </row>
    <row r="515" spans="2:27" x14ac:dyDescent="0.2">
      <c r="B515" s="693"/>
      <c r="C515" s="691"/>
      <c r="AA515" s="67"/>
    </row>
    <row r="516" spans="2:27" x14ac:dyDescent="0.2">
      <c r="B516" s="693"/>
      <c r="C516" s="691"/>
      <c r="AA516" s="67"/>
    </row>
    <row r="517" spans="2:27" x14ac:dyDescent="0.2">
      <c r="B517" s="693"/>
      <c r="C517" s="691"/>
      <c r="AA517" s="67"/>
    </row>
    <row r="518" spans="2:27" x14ac:dyDescent="0.2">
      <c r="B518" s="693"/>
      <c r="C518" s="691"/>
      <c r="AA518" s="67"/>
    </row>
    <row r="519" spans="2:27" x14ac:dyDescent="0.2">
      <c r="B519" s="693"/>
      <c r="C519" s="691"/>
      <c r="AA519" s="67"/>
    </row>
    <row r="520" spans="2:27" x14ac:dyDescent="0.2">
      <c r="B520" s="693"/>
      <c r="C520" s="691"/>
      <c r="AA520" s="67"/>
    </row>
    <row r="521" spans="2:27" x14ac:dyDescent="0.2">
      <c r="B521" s="693"/>
      <c r="C521" s="691"/>
      <c r="AA521" s="67"/>
    </row>
    <row r="522" spans="2:27" x14ac:dyDescent="0.2">
      <c r="B522" s="693"/>
      <c r="C522" s="691"/>
      <c r="AA522" s="67"/>
    </row>
    <row r="523" spans="2:27" x14ac:dyDescent="0.2">
      <c r="B523" s="693"/>
      <c r="C523" s="691"/>
      <c r="AA523" s="67"/>
    </row>
    <row r="524" spans="2:27" x14ac:dyDescent="0.2">
      <c r="B524" s="693"/>
      <c r="C524" s="691"/>
      <c r="AA524" s="67"/>
    </row>
    <row r="525" spans="2:27" x14ac:dyDescent="0.2">
      <c r="B525" s="693"/>
      <c r="C525" s="691"/>
      <c r="AA525" s="67"/>
    </row>
    <row r="526" spans="2:27" x14ac:dyDescent="0.2">
      <c r="B526" s="693"/>
      <c r="C526" s="691"/>
      <c r="AA526" s="67"/>
    </row>
    <row r="527" spans="2:27" x14ac:dyDescent="0.2">
      <c r="B527" s="693"/>
      <c r="C527" s="691"/>
      <c r="AA527" s="67"/>
    </row>
    <row r="528" spans="2:27" x14ac:dyDescent="0.2">
      <c r="B528" s="693"/>
      <c r="C528" s="691"/>
      <c r="AA528" s="67"/>
    </row>
    <row r="529" spans="2:27" x14ac:dyDescent="0.2">
      <c r="B529" s="693"/>
      <c r="C529" s="691"/>
      <c r="AA529" s="67"/>
    </row>
    <row r="530" spans="2:27" x14ac:dyDescent="0.2">
      <c r="B530" s="693"/>
      <c r="C530" s="691"/>
      <c r="AA530" s="67"/>
    </row>
    <row r="531" spans="2:27" x14ac:dyDescent="0.2">
      <c r="B531" s="693"/>
      <c r="C531" s="691"/>
      <c r="AA531" s="67"/>
    </row>
    <row r="532" spans="2:27" x14ac:dyDescent="0.2">
      <c r="B532" s="693"/>
      <c r="C532" s="691"/>
      <c r="AA532" s="67"/>
    </row>
    <row r="533" spans="2:27" x14ac:dyDescent="0.2">
      <c r="B533" s="693"/>
      <c r="C533" s="691"/>
      <c r="AA533" s="67"/>
    </row>
    <row r="534" spans="2:27" x14ac:dyDescent="0.2">
      <c r="B534" s="693"/>
      <c r="C534" s="691"/>
      <c r="AA534" s="67"/>
    </row>
    <row r="535" spans="2:27" x14ac:dyDescent="0.2">
      <c r="B535" s="693"/>
      <c r="C535" s="691"/>
      <c r="AA535" s="67"/>
    </row>
    <row r="536" spans="2:27" x14ac:dyDescent="0.2">
      <c r="B536" s="693"/>
      <c r="C536" s="691"/>
      <c r="AA536" s="67"/>
    </row>
    <row r="537" spans="2:27" x14ac:dyDescent="0.2">
      <c r="B537" s="693"/>
      <c r="C537" s="691"/>
      <c r="AA537" s="67"/>
    </row>
    <row r="538" spans="2:27" x14ac:dyDescent="0.2">
      <c r="B538" s="693"/>
      <c r="C538" s="691"/>
      <c r="AA538" s="67"/>
    </row>
    <row r="539" spans="2:27" x14ac:dyDescent="0.2">
      <c r="B539" s="693"/>
      <c r="C539" s="691"/>
      <c r="AA539" s="67"/>
    </row>
    <row r="540" spans="2:27" x14ac:dyDescent="0.2">
      <c r="B540" s="693"/>
      <c r="C540" s="691"/>
      <c r="AA540" s="67"/>
    </row>
    <row r="541" spans="2:27" x14ac:dyDescent="0.2">
      <c r="B541" s="693"/>
      <c r="C541" s="691"/>
      <c r="AA541" s="67"/>
    </row>
    <row r="542" spans="2:27" x14ac:dyDescent="0.2">
      <c r="B542" s="693"/>
      <c r="C542" s="691"/>
      <c r="AA542" s="67"/>
    </row>
    <row r="543" spans="2:27" x14ac:dyDescent="0.2">
      <c r="B543" s="693"/>
      <c r="C543" s="691"/>
      <c r="AA543" s="67"/>
    </row>
    <row r="544" spans="2:27" x14ac:dyDescent="0.2">
      <c r="B544" s="693"/>
      <c r="C544" s="691"/>
      <c r="AA544" s="67"/>
    </row>
    <row r="545" spans="2:27" x14ac:dyDescent="0.2">
      <c r="B545" s="693"/>
      <c r="C545" s="691"/>
      <c r="AA545" s="67"/>
    </row>
    <row r="546" spans="2:27" x14ac:dyDescent="0.2">
      <c r="B546" s="693"/>
      <c r="C546" s="691"/>
      <c r="AA546" s="67"/>
    </row>
    <row r="547" spans="2:27" x14ac:dyDescent="0.2">
      <c r="B547" s="693"/>
      <c r="C547" s="691"/>
      <c r="AA547" s="67"/>
    </row>
    <row r="548" spans="2:27" x14ac:dyDescent="0.2">
      <c r="B548" s="693"/>
      <c r="C548" s="691"/>
      <c r="AA548" s="67"/>
    </row>
    <row r="549" spans="2:27" x14ac:dyDescent="0.2">
      <c r="B549" s="693"/>
      <c r="C549" s="691"/>
      <c r="AA549" s="67"/>
    </row>
    <row r="550" spans="2:27" x14ac:dyDescent="0.2">
      <c r="B550" s="693"/>
      <c r="C550" s="691"/>
      <c r="AA550" s="67"/>
    </row>
    <row r="551" spans="2:27" x14ac:dyDescent="0.2">
      <c r="B551" s="693"/>
      <c r="C551" s="691"/>
      <c r="AA551" s="67"/>
    </row>
    <row r="552" spans="2:27" x14ac:dyDescent="0.2">
      <c r="B552" s="693"/>
      <c r="C552" s="691"/>
      <c r="AA552" s="67"/>
    </row>
    <row r="553" spans="2:27" x14ac:dyDescent="0.2">
      <c r="B553" s="693"/>
      <c r="C553" s="691"/>
      <c r="AA553" s="67"/>
    </row>
    <row r="554" spans="2:27" x14ac:dyDescent="0.2">
      <c r="B554" s="693"/>
      <c r="C554" s="691"/>
      <c r="AA554" s="67"/>
    </row>
    <row r="555" spans="2:27" x14ac:dyDescent="0.2">
      <c r="B555" s="693"/>
      <c r="C555" s="691"/>
      <c r="AA555" s="67"/>
    </row>
    <row r="556" spans="2:27" x14ac:dyDescent="0.2">
      <c r="B556" s="693"/>
      <c r="C556" s="691"/>
      <c r="AA556" s="67"/>
    </row>
    <row r="557" spans="2:27" x14ac:dyDescent="0.2">
      <c r="B557" s="693"/>
      <c r="C557" s="691"/>
      <c r="AA557" s="67"/>
    </row>
    <row r="558" spans="2:27" x14ac:dyDescent="0.2">
      <c r="B558" s="693"/>
      <c r="C558" s="691"/>
      <c r="AA558" s="67"/>
    </row>
    <row r="559" spans="2:27" x14ac:dyDescent="0.2">
      <c r="B559" s="693"/>
      <c r="C559" s="691"/>
      <c r="AA559" s="67"/>
    </row>
    <row r="560" spans="2:27" x14ac:dyDescent="0.2">
      <c r="B560" s="693"/>
      <c r="C560" s="691"/>
      <c r="AA560" s="67"/>
    </row>
    <row r="561" spans="2:27" x14ac:dyDescent="0.2">
      <c r="B561" s="693"/>
      <c r="C561" s="691"/>
      <c r="AA561" s="67"/>
    </row>
    <row r="562" spans="2:27" x14ac:dyDescent="0.2">
      <c r="B562" s="693"/>
      <c r="C562" s="691"/>
      <c r="AA562" s="67"/>
    </row>
    <row r="563" spans="2:27" x14ac:dyDescent="0.2">
      <c r="B563" s="693"/>
      <c r="C563" s="691"/>
      <c r="AA563" s="67"/>
    </row>
    <row r="564" spans="2:27" x14ac:dyDescent="0.2">
      <c r="B564" s="693"/>
      <c r="C564" s="691"/>
      <c r="AA564" s="67"/>
    </row>
    <row r="565" spans="2:27" x14ac:dyDescent="0.2">
      <c r="B565" s="693"/>
      <c r="C565" s="691"/>
      <c r="AA565" s="67"/>
    </row>
    <row r="566" spans="2:27" x14ac:dyDescent="0.2">
      <c r="B566" s="693"/>
      <c r="C566" s="691"/>
      <c r="AA566" s="67"/>
    </row>
    <row r="567" spans="2:27" x14ac:dyDescent="0.2">
      <c r="B567" s="693"/>
      <c r="C567" s="691"/>
      <c r="AA567" s="67"/>
    </row>
    <row r="568" spans="2:27" x14ac:dyDescent="0.2">
      <c r="B568" s="693"/>
      <c r="C568" s="691"/>
      <c r="AA568" s="67"/>
    </row>
    <row r="569" spans="2:27" x14ac:dyDescent="0.2">
      <c r="B569" s="693"/>
      <c r="C569" s="691"/>
      <c r="AA569" s="67"/>
    </row>
    <row r="570" spans="2:27" x14ac:dyDescent="0.2">
      <c r="B570" s="693"/>
      <c r="C570" s="691"/>
      <c r="AA570" s="67"/>
    </row>
    <row r="571" spans="2:27" x14ac:dyDescent="0.2">
      <c r="B571" s="693"/>
      <c r="C571" s="691"/>
      <c r="AA571" s="67"/>
    </row>
    <row r="572" spans="2:27" x14ac:dyDescent="0.2">
      <c r="B572" s="693"/>
      <c r="C572" s="691"/>
      <c r="AA572" s="67"/>
    </row>
    <row r="573" spans="2:27" x14ac:dyDescent="0.2">
      <c r="B573" s="693"/>
      <c r="C573" s="691"/>
      <c r="AA573" s="67"/>
    </row>
    <row r="574" spans="2:27" x14ac:dyDescent="0.2">
      <c r="B574" s="693"/>
      <c r="C574" s="691"/>
      <c r="AA574" s="67"/>
    </row>
    <row r="575" spans="2:27" x14ac:dyDescent="0.2">
      <c r="B575" s="693"/>
      <c r="C575" s="691"/>
      <c r="AA575" s="67"/>
    </row>
    <row r="576" spans="2:27" x14ac:dyDescent="0.2">
      <c r="B576" s="693"/>
      <c r="C576" s="691"/>
      <c r="AA576" s="67"/>
    </row>
    <row r="577" spans="2:27" x14ac:dyDescent="0.2">
      <c r="B577" s="693"/>
      <c r="C577" s="691"/>
      <c r="AA577" s="67"/>
    </row>
    <row r="578" spans="2:27" x14ac:dyDescent="0.2">
      <c r="B578" s="693"/>
      <c r="C578" s="691"/>
      <c r="AA578" s="67"/>
    </row>
    <row r="579" spans="2:27" x14ac:dyDescent="0.2">
      <c r="B579" s="693"/>
      <c r="C579" s="691"/>
      <c r="AA579" s="67"/>
    </row>
    <row r="580" spans="2:27" x14ac:dyDescent="0.2">
      <c r="B580" s="693"/>
      <c r="C580" s="691"/>
      <c r="AA580" s="67"/>
    </row>
    <row r="581" spans="2:27" x14ac:dyDescent="0.2">
      <c r="B581" s="693"/>
      <c r="C581" s="691"/>
      <c r="AA581" s="67"/>
    </row>
    <row r="582" spans="2:27" x14ac:dyDescent="0.2">
      <c r="B582" s="693"/>
      <c r="C582" s="691"/>
      <c r="AA582" s="67"/>
    </row>
    <row r="583" spans="2:27" x14ac:dyDescent="0.2">
      <c r="B583" s="693"/>
      <c r="C583" s="691"/>
      <c r="AA583" s="67"/>
    </row>
    <row r="584" spans="2:27" x14ac:dyDescent="0.2">
      <c r="B584" s="693"/>
      <c r="C584" s="691"/>
      <c r="AA584" s="67"/>
    </row>
    <row r="585" spans="2:27" x14ac:dyDescent="0.2">
      <c r="B585" s="693"/>
      <c r="C585" s="691"/>
      <c r="AA585" s="67"/>
    </row>
    <row r="586" spans="2:27" x14ac:dyDescent="0.2">
      <c r="B586" s="693"/>
      <c r="C586" s="691"/>
      <c r="AA586" s="67"/>
    </row>
    <row r="587" spans="2:27" x14ac:dyDescent="0.2">
      <c r="B587" s="693"/>
      <c r="C587" s="691"/>
      <c r="AA587" s="67"/>
    </row>
    <row r="588" spans="2:27" x14ac:dyDescent="0.2">
      <c r="B588" s="693"/>
      <c r="C588" s="691"/>
      <c r="AA588" s="67"/>
    </row>
    <row r="589" spans="2:27" x14ac:dyDescent="0.2">
      <c r="B589" s="693"/>
      <c r="C589" s="691"/>
      <c r="AA589" s="67"/>
    </row>
    <row r="590" spans="2:27" x14ac:dyDescent="0.2">
      <c r="B590" s="693"/>
      <c r="C590" s="691"/>
      <c r="AA590" s="67"/>
    </row>
    <row r="591" spans="2:27" x14ac:dyDescent="0.2">
      <c r="B591" s="693"/>
      <c r="C591" s="691"/>
      <c r="AA591" s="67"/>
    </row>
    <row r="592" spans="2:27" x14ac:dyDescent="0.2">
      <c r="B592" s="693"/>
      <c r="C592" s="691"/>
      <c r="AA592" s="67"/>
    </row>
    <row r="593" spans="2:27" x14ac:dyDescent="0.2">
      <c r="B593" s="693"/>
      <c r="C593" s="691"/>
      <c r="AA593" s="67"/>
    </row>
    <row r="594" spans="2:27" x14ac:dyDescent="0.2">
      <c r="B594" s="693"/>
      <c r="C594" s="691"/>
      <c r="AA594" s="67"/>
    </row>
    <row r="595" spans="2:27" x14ac:dyDescent="0.2">
      <c r="B595" s="693"/>
      <c r="C595" s="691"/>
      <c r="AA595" s="67"/>
    </row>
    <row r="596" spans="2:27" x14ac:dyDescent="0.2">
      <c r="B596" s="693"/>
      <c r="C596" s="691"/>
      <c r="AA596" s="67"/>
    </row>
    <row r="597" spans="2:27" x14ac:dyDescent="0.2">
      <c r="B597" s="693"/>
      <c r="C597" s="691"/>
      <c r="AA597" s="67"/>
    </row>
    <row r="598" spans="2:27" x14ac:dyDescent="0.2">
      <c r="B598" s="693"/>
      <c r="C598" s="691"/>
      <c r="AA598" s="67"/>
    </row>
    <row r="599" spans="2:27" x14ac:dyDescent="0.2">
      <c r="B599" s="693"/>
      <c r="C599" s="691"/>
      <c r="AA599" s="67"/>
    </row>
    <row r="600" spans="2:27" x14ac:dyDescent="0.2">
      <c r="B600" s="693"/>
      <c r="C600" s="691"/>
      <c r="AA600" s="67"/>
    </row>
    <row r="601" spans="2:27" x14ac:dyDescent="0.2">
      <c r="B601" s="693"/>
      <c r="C601" s="691"/>
      <c r="AA601" s="67"/>
    </row>
    <row r="602" spans="2:27" x14ac:dyDescent="0.2">
      <c r="B602" s="693"/>
      <c r="C602" s="691"/>
      <c r="AA602" s="67"/>
    </row>
    <row r="603" spans="2:27" x14ac:dyDescent="0.2">
      <c r="B603" s="693"/>
      <c r="C603" s="691"/>
      <c r="AA603" s="67"/>
    </row>
    <row r="604" spans="2:27" x14ac:dyDescent="0.2">
      <c r="B604" s="693"/>
      <c r="C604" s="691"/>
      <c r="AA604" s="67"/>
    </row>
    <row r="605" spans="2:27" x14ac:dyDescent="0.2">
      <c r="B605" s="693"/>
      <c r="C605" s="691"/>
      <c r="AA605" s="67"/>
    </row>
    <row r="606" spans="2:27" x14ac:dyDescent="0.2">
      <c r="B606" s="693"/>
      <c r="C606" s="691"/>
      <c r="AA606" s="67"/>
    </row>
    <row r="607" spans="2:27" x14ac:dyDescent="0.2">
      <c r="B607" s="693"/>
      <c r="C607" s="691"/>
      <c r="AA607" s="67"/>
    </row>
    <row r="608" spans="2:27" x14ac:dyDescent="0.2">
      <c r="B608" s="693"/>
      <c r="C608" s="691"/>
      <c r="AA608" s="67"/>
    </row>
    <row r="609" spans="2:27" x14ac:dyDescent="0.2">
      <c r="B609" s="693"/>
      <c r="C609" s="691"/>
      <c r="AA609" s="67"/>
    </row>
    <row r="610" spans="2:27" x14ac:dyDescent="0.2">
      <c r="B610" s="693"/>
      <c r="C610" s="691"/>
      <c r="AA610" s="67"/>
    </row>
    <row r="611" spans="2:27" x14ac:dyDescent="0.2">
      <c r="B611" s="693"/>
      <c r="C611" s="691"/>
      <c r="AA611" s="67"/>
    </row>
    <row r="612" spans="2:27" x14ac:dyDescent="0.2">
      <c r="B612" s="693"/>
      <c r="C612" s="691"/>
      <c r="AA612" s="67"/>
    </row>
    <row r="613" spans="2:27" x14ac:dyDescent="0.2">
      <c r="B613" s="693"/>
      <c r="C613" s="691"/>
      <c r="AA613" s="67"/>
    </row>
    <row r="614" spans="2:27" x14ac:dyDescent="0.2">
      <c r="B614" s="693"/>
      <c r="C614" s="691"/>
      <c r="AA614" s="67"/>
    </row>
    <row r="615" spans="2:27" x14ac:dyDescent="0.2">
      <c r="B615" s="693"/>
      <c r="C615" s="691"/>
      <c r="AA615" s="67"/>
    </row>
    <row r="616" spans="2:27" x14ac:dyDescent="0.2">
      <c r="B616" s="693"/>
      <c r="C616" s="691"/>
      <c r="AA616" s="67"/>
    </row>
    <row r="617" spans="2:27" x14ac:dyDescent="0.2">
      <c r="B617" s="693"/>
      <c r="C617" s="691"/>
      <c r="AA617" s="67"/>
    </row>
    <row r="618" spans="2:27" x14ac:dyDescent="0.2">
      <c r="B618" s="693"/>
      <c r="C618" s="691"/>
      <c r="AA618" s="67"/>
    </row>
    <row r="619" spans="2:27" x14ac:dyDescent="0.2">
      <c r="B619" s="693"/>
      <c r="C619" s="691"/>
      <c r="AA619" s="67"/>
    </row>
    <row r="620" spans="2:27" x14ac:dyDescent="0.2">
      <c r="B620" s="693"/>
      <c r="C620" s="691"/>
      <c r="AA620" s="67"/>
    </row>
    <row r="621" spans="2:27" x14ac:dyDescent="0.2">
      <c r="B621" s="693"/>
      <c r="C621" s="691"/>
      <c r="AA621" s="67"/>
    </row>
    <row r="622" spans="2:27" x14ac:dyDescent="0.2">
      <c r="B622" s="693"/>
      <c r="C622" s="691"/>
      <c r="AA622" s="67"/>
    </row>
    <row r="623" spans="2:27" x14ac:dyDescent="0.2">
      <c r="B623" s="693"/>
      <c r="C623" s="691"/>
      <c r="AA623" s="67"/>
    </row>
    <row r="624" spans="2:27" x14ac:dyDescent="0.2">
      <c r="B624" s="693"/>
      <c r="C624" s="691"/>
      <c r="AA624" s="67"/>
    </row>
    <row r="625" spans="2:27" x14ac:dyDescent="0.2">
      <c r="B625" s="693"/>
      <c r="C625" s="691"/>
      <c r="AA625" s="67"/>
    </row>
    <row r="626" spans="2:27" x14ac:dyDescent="0.2">
      <c r="B626" s="693"/>
      <c r="C626" s="691"/>
      <c r="AA626" s="67"/>
    </row>
    <row r="627" spans="2:27" x14ac:dyDescent="0.2">
      <c r="B627" s="693"/>
      <c r="C627" s="691"/>
      <c r="AA627" s="67"/>
    </row>
    <row r="628" spans="2:27" x14ac:dyDescent="0.2">
      <c r="B628" s="693"/>
      <c r="C628" s="691"/>
      <c r="AA628" s="67"/>
    </row>
    <row r="629" spans="2:27" x14ac:dyDescent="0.2">
      <c r="B629" s="693"/>
      <c r="C629" s="691"/>
      <c r="AA629" s="67"/>
    </row>
    <row r="630" spans="2:27" x14ac:dyDescent="0.2">
      <c r="B630" s="693"/>
      <c r="C630" s="691"/>
      <c r="AA630" s="67"/>
    </row>
    <row r="631" spans="2:27" x14ac:dyDescent="0.2">
      <c r="B631" s="693"/>
      <c r="C631" s="691"/>
      <c r="AA631" s="67"/>
    </row>
    <row r="632" spans="2:27" x14ac:dyDescent="0.2">
      <c r="B632" s="693"/>
      <c r="C632" s="691"/>
      <c r="AA632" s="67"/>
    </row>
    <row r="633" spans="2:27" x14ac:dyDescent="0.2">
      <c r="B633" s="693"/>
      <c r="C633" s="691"/>
      <c r="AA633" s="67"/>
    </row>
    <row r="634" spans="2:27" x14ac:dyDescent="0.2">
      <c r="B634" s="693"/>
      <c r="C634" s="691"/>
      <c r="AA634" s="67"/>
    </row>
    <row r="635" spans="2:27" x14ac:dyDescent="0.2">
      <c r="B635" s="693"/>
      <c r="C635" s="691"/>
      <c r="AA635" s="67"/>
    </row>
    <row r="636" spans="2:27" x14ac:dyDescent="0.2">
      <c r="B636" s="693"/>
      <c r="C636" s="691"/>
      <c r="AA636" s="67"/>
    </row>
    <row r="637" spans="2:27" x14ac:dyDescent="0.2">
      <c r="B637" s="693"/>
      <c r="C637" s="691"/>
      <c r="AA637" s="67"/>
    </row>
    <row r="638" spans="2:27" x14ac:dyDescent="0.2">
      <c r="B638" s="693"/>
      <c r="C638" s="691"/>
      <c r="AA638" s="67"/>
    </row>
    <row r="639" spans="2:27" x14ac:dyDescent="0.2">
      <c r="B639" s="693"/>
      <c r="C639" s="691"/>
      <c r="AA639" s="67"/>
    </row>
    <row r="640" spans="2:27" x14ac:dyDescent="0.2">
      <c r="AA640" s="67"/>
    </row>
    <row r="641" spans="27:27" x14ac:dyDescent="0.2">
      <c r="AA641" s="67"/>
    </row>
    <row r="642" spans="27:27" x14ac:dyDescent="0.2">
      <c r="AA642" s="67"/>
    </row>
    <row r="643" spans="27:27" x14ac:dyDescent="0.2">
      <c r="AA643" s="67"/>
    </row>
    <row r="644" spans="27:27" x14ac:dyDescent="0.2">
      <c r="AA644" s="67"/>
    </row>
    <row r="645" spans="27:27" x14ac:dyDescent="0.2">
      <c r="AA645" s="67"/>
    </row>
    <row r="646" spans="27:27" x14ac:dyDescent="0.2">
      <c r="AA646" s="67"/>
    </row>
    <row r="647" spans="27:27" x14ac:dyDescent="0.2">
      <c r="AA647" s="67"/>
    </row>
    <row r="648" spans="27:27" x14ac:dyDescent="0.2">
      <c r="AA648" s="67"/>
    </row>
    <row r="649" spans="27:27" x14ac:dyDescent="0.2">
      <c r="AA649" s="67"/>
    </row>
    <row r="650" spans="27:27" x14ac:dyDescent="0.2">
      <c r="AA650" s="67"/>
    </row>
    <row r="651" spans="27:27" x14ac:dyDescent="0.2">
      <c r="AA651" s="67"/>
    </row>
    <row r="652" spans="27:27" x14ac:dyDescent="0.2">
      <c r="AA652" s="67"/>
    </row>
    <row r="653" spans="27:27" x14ac:dyDescent="0.2">
      <c r="AA653" s="67"/>
    </row>
    <row r="654" spans="27:27" x14ac:dyDescent="0.2">
      <c r="AA654" s="67"/>
    </row>
    <row r="655" spans="27:27" x14ac:dyDescent="0.2">
      <c r="AA655" s="67"/>
    </row>
    <row r="656" spans="27:27" x14ac:dyDescent="0.2">
      <c r="AA656" s="67"/>
    </row>
    <row r="657" spans="27:27" x14ac:dyDescent="0.2">
      <c r="AA657" s="67"/>
    </row>
    <row r="658" spans="27:27" x14ac:dyDescent="0.2">
      <c r="AA658" s="67"/>
    </row>
    <row r="659" spans="27:27" x14ac:dyDescent="0.2">
      <c r="AA659" s="67"/>
    </row>
    <row r="660" spans="27:27" x14ac:dyDescent="0.2">
      <c r="AA660" s="67"/>
    </row>
    <row r="661" spans="27:27" x14ac:dyDescent="0.2">
      <c r="AA661" s="67"/>
    </row>
    <row r="662" spans="27:27" x14ac:dyDescent="0.2">
      <c r="AA662" s="67"/>
    </row>
    <row r="663" spans="27:27" x14ac:dyDescent="0.2">
      <c r="AA663" s="67"/>
    </row>
    <row r="664" spans="27:27" x14ac:dyDescent="0.2">
      <c r="AA664" s="67"/>
    </row>
    <row r="665" spans="27:27" x14ac:dyDescent="0.2">
      <c r="AA665" s="67"/>
    </row>
    <row r="666" spans="27:27" x14ac:dyDescent="0.2">
      <c r="AA666" s="67"/>
    </row>
    <row r="667" spans="27:27" x14ac:dyDescent="0.2">
      <c r="AA667" s="67"/>
    </row>
    <row r="668" spans="27:27" x14ac:dyDescent="0.2">
      <c r="AA668" s="67"/>
    </row>
    <row r="669" spans="27:27" x14ac:dyDescent="0.2">
      <c r="AA669" s="67"/>
    </row>
    <row r="670" spans="27:27" x14ac:dyDescent="0.2">
      <c r="AA670" s="67"/>
    </row>
    <row r="671" spans="27:27" x14ac:dyDescent="0.2">
      <c r="AA671" s="67"/>
    </row>
    <row r="672" spans="27:27" x14ac:dyDescent="0.2">
      <c r="AA672" s="67"/>
    </row>
    <row r="673" spans="27:27" x14ac:dyDescent="0.2">
      <c r="AA673" s="67"/>
    </row>
    <row r="674" spans="27:27" x14ac:dyDescent="0.2">
      <c r="AA674" s="67"/>
    </row>
    <row r="675" spans="27:27" x14ac:dyDescent="0.2">
      <c r="AA675" s="67"/>
    </row>
    <row r="676" spans="27:27" x14ac:dyDescent="0.2">
      <c r="AA676" s="67"/>
    </row>
    <row r="677" spans="27:27" x14ac:dyDescent="0.2">
      <c r="AA677" s="67"/>
    </row>
    <row r="678" spans="27:27" x14ac:dyDescent="0.2">
      <c r="AA678" s="67"/>
    </row>
    <row r="679" spans="27:27" x14ac:dyDescent="0.2">
      <c r="AA679" s="67"/>
    </row>
    <row r="680" spans="27:27" x14ac:dyDescent="0.2">
      <c r="AA680" s="67"/>
    </row>
    <row r="681" spans="27:27" x14ac:dyDescent="0.2">
      <c r="AA681" s="67"/>
    </row>
    <row r="682" spans="27:27" x14ac:dyDescent="0.2">
      <c r="AA682" s="67"/>
    </row>
    <row r="683" spans="27:27" x14ac:dyDescent="0.2">
      <c r="AA683" s="67"/>
    </row>
    <row r="684" spans="27:27" x14ac:dyDescent="0.2">
      <c r="AA684" s="67"/>
    </row>
    <row r="685" spans="27:27" x14ac:dyDescent="0.2">
      <c r="AA685" s="67"/>
    </row>
    <row r="686" spans="27:27" x14ac:dyDescent="0.2">
      <c r="AA686" s="67"/>
    </row>
    <row r="687" spans="27:27" x14ac:dyDescent="0.2">
      <c r="AA687" s="67"/>
    </row>
    <row r="688" spans="27:27" x14ac:dyDescent="0.2">
      <c r="AA688" s="67"/>
    </row>
    <row r="689" spans="27:27" x14ac:dyDescent="0.2">
      <c r="AA689" s="67"/>
    </row>
    <row r="690" spans="27:27" x14ac:dyDescent="0.2">
      <c r="AA690" s="67"/>
    </row>
    <row r="691" spans="27:27" x14ac:dyDescent="0.2">
      <c r="AA691" s="67"/>
    </row>
    <row r="692" spans="27:27" x14ac:dyDescent="0.2">
      <c r="AA692" s="67"/>
    </row>
    <row r="693" spans="27:27" x14ac:dyDescent="0.2">
      <c r="AA693" s="67"/>
    </row>
    <row r="694" spans="27:27" x14ac:dyDescent="0.2">
      <c r="AA694" s="67"/>
    </row>
    <row r="695" spans="27:27" x14ac:dyDescent="0.2">
      <c r="AA695" s="67"/>
    </row>
    <row r="696" spans="27:27" x14ac:dyDescent="0.2">
      <c r="AA696" s="67"/>
    </row>
    <row r="697" spans="27:27" x14ac:dyDescent="0.2">
      <c r="AA697" s="67"/>
    </row>
    <row r="698" spans="27:27" x14ac:dyDescent="0.2">
      <c r="AA698" s="67"/>
    </row>
    <row r="699" spans="27:27" x14ac:dyDescent="0.2">
      <c r="AA699" s="67"/>
    </row>
    <row r="700" spans="27:27" x14ac:dyDescent="0.2">
      <c r="AA700" s="67"/>
    </row>
    <row r="701" spans="27:27" x14ac:dyDescent="0.2">
      <c r="AA701" s="67"/>
    </row>
    <row r="702" spans="27:27" x14ac:dyDescent="0.2">
      <c r="AA702" s="67"/>
    </row>
    <row r="703" spans="27:27" x14ac:dyDescent="0.2">
      <c r="AA703" s="67"/>
    </row>
    <row r="704" spans="27:27" x14ac:dyDescent="0.2">
      <c r="AA704" s="67"/>
    </row>
    <row r="705" spans="27:27" x14ac:dyDescent="0.2">
      <c r="AA705" s="67"/>
    </row>
    <row r="706" spans="27:27" x14ac:dyDescent="0.2">
      <c r="AA706" s="67"/>
    </row>
    <row r="707" spans="27:27" x14ac:dyDescent="0.2">
      <c r="AA707" s="67"/>
    </row>
    <row r="708" spans="27:27" x14ac:dyDescent="0.2">
      <c r="AA708" s="67"/>
    </row>
    <row r="709" spans="27:27" x14ac:dyDescent="0.2">
      <c r="AA709" s="67"/>
    </row>
    <row r="710" spans="27:27" x14ac:dyDescent="0.2">
      <c r="AA710" s="67"/>
    </row>
    <row r="711" spans="27:27" x14ac:dyDescent="0.2">
      <c r="AA711" s="67"/>
    </row>
    <row r="712" spans="27:27" x14ac:dyDescent="0.2">
      <c r="AA712" s="67"/>
    </row>
    <row r="713" spans="27:27" x14ac:dyDescent="0.2">
      <c r="AA713" s="67"/>
    </row>
    <row r="714" spans="27:27" x14ac:dyDescent="0.2">
      <c r="AA714" s="67"/>
    </row>
    <row r="715" spans="27:27" x14ac:dyDescent="0.2">
      <c r="AA715" s="67"/>
    </row>
    <row r="716" spans="27:27" x14ac:dyDescent="0.2">
      <c r="AA716" s="67"/>
    </row>
    <row r="717" spans="27:27" x14ac:dyDescent="0.2">
      <c r="AA717" s="67"/>
    </row>
    <row r="718" spans="27:27" x14ac:dyDescent="0.2">
      <c r="AA718" s="67"/>
    </row>
    <row r="719" spans="27:27" x14ac:dyDescent="0.2">
      <c r="AA719" s="67"/>
    </row>
    <row r="720" spans="27:27" x14ac:dyDescent="0.2">
      <c r="AA720" s="67"/>
    </row>
    <row r="721" spans="27:27" x14ac:dyDescent="0.2">
      <c r="AA721" s="67"/>
    </row>
    <row r="722" spans="27:27" x14ac:dyDescent="0.2">
      <c r="AA722" s="67"/>
    </row>
    <row r="723" spans="27:27" x14ac:dyDescent="0.2">
      <c r="AA723" s="67"/>
    </row>
    <row r="724" spans="27:27" x14ac:dyDescent="0.2">
      <c r="AA724" s="67"/>
    </row>
    <row r="725" spans="27:27" x14ac:dyDescent="0.2">
      <c r="AA725" s="67"/>
    </row>
    <row r="726" spans="27:27" x14ac:dyDescent="0.2">
      <c r="AA726" s="67"/>
    </row>
    <row r="727" spans="27:27" x14ac:dyDescent="0.2">
      <c r="AA727" s="67"/>
    </row>
    <row r="728" spans="27:27" x14ac:dyDescent="0.2">
      <c r="AA728" s="67"/>
    </row>
    <row r="729" spans="27:27" x14ac:dyDescent="0.2">
      <c r="AA729" s="67"/>
    </row>
    <row r="730" spans="27:27" x14ac:dyDescent="0.2">
      <c r="AA730" s="67"/>
    </row>
    <row r="731" spans="27:27" x14ac:dyDescent="0.2">
      <c r="AA731" s="67"/>
    </row>
    <row r="732" spans="27:27" x14ac:dyDescent="0.2">
      <c r="AA732" s="67"/>
    </row>
    <row r="733" spans="27:27" x14ac:dyDescent="0.2">
      <c r="AA733" s="67"/>
    </row>
    <row r="734" spans="27:27" x14ac:dyDescent="0.2">
      <c r="AA734" s="67"/>
    </row>
    <row r="735" spans="27:27" x14ac:dyDescent="0.2">
      <c r="AA735" s="67"/>
    </row>
    <row r="736" spans="27:27" x14ac:dyDescent="0.2">
      <c r="AA736" s="67"/>
    </row>
    <row r="737" spans="27:27" x14ac:dyDescent="0.2">
      <c r="AA737" s="67"/>
    </row>
    <row r="738" spans="27:27" x14ac:dyDescent="0.2">
      <c r="AA738" s="67"/>
    </row>
    <row r="739" spans="27:27" x14ac:dyDescent="0.2">
      <c r="AA739" s="67"/>
    </row>
    <row r="740" spans="27:27" x14ac:dyDescent="0.2">
      <c r="AA740" s="67"/>
    </row>
    <row r="741" spans="27:27" x14ac:dyDescent="0.2">
      <c r="AA741" s="67"/>
    </row>
    <row r="742" spans="27:27" x14ac:dyDescent="0.2">
      <c r="AA742" s="67"/>
    </row>
    <row r="743" spans="27:27" x14ac:dyDescent="0.2">
      <c r="AA743" s="67"/>
    </row>
    <row r="744" spans="27:27" x14ac:dyDescent="0.2">
      <c r="AA744" s="67"/>
    </row>
    <row r="745" spans="27:27" x14ac:dyDescent="0.2">
      <c r="AA745" s="67"/>
    </row>
    <row r="746" spans="27:27" x14ac:dyDescent="0.2">
      <c r="AA746" s="67"/>
    </row>
    <row r="747" spans="27:27" x14ac:dyDescent="0.2">
      <c r="AA747" s="67"/>
    </row>
    <row r="748" spans="27:27" x14ac:dyDescent="0.2">
      <c r="AA748" s="67"/>
    </row>
    <row r="749" spans="27:27" x14ac:dyDescent="0.2">
      <c r="AA749" s="67"/>
    </row>
    <row r="750" spans="27:27" x14ac:dyDescent="0.2">
      <c r="AA750" s="67"/>
    </row>
    <row r="751" spans="27:27" x14ac:dyDescent="0.2">
      <c r="AA751" s="67"/>
    </row>
    <row r="752" spans="27:27" x14ac:dyDescent="0.2">
      <c r="AA752" s="67"/>
    </row>
    <row r="753" spans="27:27" x14ac:dyDescent="0.2">
      <c r="AA753" s="67"/>
    </row>
    <row r="754" spans="27:27" x14ac:dyDescent="0.2">
      <c r="AA754" s="67"/>
    </row>
    <row r="755" spans="27:27" x14ac:dyDescent="0.2">
      <c r="AA755" s="67"/>
    </row>
    <row r="756" spans="27:27" x14ac:dyDescent="0.2">
      <c r="AA756" s="67"/>
    </row>
    <row r="757" spans="27:27" x14ac:dyDescent="0.2">
      <c r="AA757" s="67"/>
    </row>
    <row r="758" spans="27:27" x14ac:dyDescent="0.2">
      <c r="AA758" s="67"/>
    </row>
    <row r="759" spans="27:27" x14ac:dyDescent="0.2">
      <c r="AA759" s="67"/>
    </row>
    <row r="760" spans="27:27" x14ac:dyDescent="0.2">
      <c r="AA760" s="67"/>
    </row>
    <row r="761" spans="27:27" x14ac:dyDescent="0.2">
      <c r="AA761" s="67"/>
    </row>
    <row r="762" spans="27:27" x14ac:dyDescent="0.2">
      <c r="AA762" s="67"/>
    </row>
    <row r="763" spans="27:27" x14ac:dyDescent="0.2">
      <c r="AA763" s="67"/>
    </row>
    <row r="764" spans="27:27" x14ac:dyDescent="0.2">
      <c r="AA764" s="67"/>
    </row>
    <row r="765" spans="27:27" x14ac:dyDescent="0.2">
      <c r="AA765" s="67"/>
    </row>
    <row r="766" spans="27:27" x14ac:dyDescent="0.2">
      <c r="AA766" s="67"/>
    </row>
    <row r="767" spans="27:27" x14ac:dyDescent="0.2">
      <c r="AA767" s="67"/>
    </row>
    <row r="768" spans="27:27" x14ac:dyDescent="0.2">
      <c r="AA768" s="67"/>
    </row>
    <row r="769" spans="27:27" x14ac:dyDescent="0.2">
      <c r="AA769" s="67"/>
    </row>
    <row r="770" spans="27:27" x14ac:dyDescent="0.2">
      <c r="AA770" s="67"/>
    </row>
    <row r="771" spans="27:27" x14ac:dyDescent="0.2">
      <c r="AA771" s="67"/>
    </row>
    <row r="772" spans="27:27" x14ac:dyDescent="0.2">
      <c r="AA772" s="67"/>
    </row>
    <row r="773" spans="27:27" x14ac:dyDescent="0.2">
      <c r="AA773" s="67"/>
    </row>
    <row r="774" spans="27:27" x14ac:dyDescent="0.2">
      <c r="AA774" s="67"/>
    </row>
    <row r="775" spans="27:27" x14ac:dyDescent="0.2">
      <c r="AA775" s="67"/>
    </row>
    <row r="776" spans="27:27" x14ac:dyDescent="0.2">
      <c r="AA776" s="67"/>
    </row>
    <row r="777" spans="27:27" x14ac:dyDescent="0.2">
      <c r="AA777" s="67"/>
    </row>
    <row r="778" spans="27:27" x14ac:dyDescent="0.2">
      <c r="AA778" s="67"/>
    </row>
    <row r="779" spans="27:27" x14ac:dyDescent="0.2">
      <c r="AA779" s="67"/>
    </row>
    <row r="780" spans="27:27" x14ac:dyDescent="0.2">
      <c r="AA780" s="67"/>
    </row>
    <row r="781" spans="27:27" x14ac:dyDescent="0.2">
      <c r="AA781" s="67"/>
    </row>
    <row r="782" spans="27:27" x14ac:dyDescent="0.2">
      <c r="AA782" s="67"/>
    </row>
    <row r="783" spans="27:27" x14ac:dyDescent="0.2">
      <c r="AA783" s="67"/>
    </row>
    <row r="784" spans="27:27" x14ac:dyDescent="0.2">
      <c r="AA784" s="67"/>
    </row>
    <row r="785" spans="27:27" x14ac:dyDescent="0.2">
      <c r="AA785" s="67"/>
    </row>
    <row r="786" spans="27:27" x14ac:dyDescent="0.2">
      <c r="AA786" s="67"/>
    </row>
    <row r="787" spans="27:27" x14ac:dyDescent="0.2">
      <c r="AA787" s="67"/>
    </row>
    <row r="788" spans="27:27" x14ac:dyDescent="0.2">
      <c r="AA788" s="67"/>
    </row>
    <row r="789" spans="27:27" x14ac:dyDescent="0.2">
      <c r="AA789" s="67"/>
    </row>
    <row r="790" spans="27:27" x14ac:dyDescent="0.2">
      <c r="AA790" s="67"/>
    </row>
    <row r="791" spans="27:27" x14ac:dyDescent="0.2">
      <c r="AA791" s="67"/>
    </row>
    <row r="792" spans="27:27" x14ac:dyDescent="0.2">
      <c r="AA792" s="67"/>
    </row>
    <row r="793" spans="27:27" x14ac:dyDescent="0.2">
      <c r="AA793" s="67"/>
    </row>
    <row r="794" spans="27:27" x14ac:dyDescent="0.2">
      <c r="AA794" s="67"/>
    </row>
    <row r="795" spans="27:27" x14ac:dyDescent="0.2">
      <c r="AA795" s="67"/>
    </row>
    <row r="796" spans="27:27" x14ac:dyDescent="0.2">
      <c r="AA796" s="67"/>
    </row>
    <row r="797" spans="27:27" x14ac:dyDescent="0.2">
      <c r="AA797" s="67"/>
    </row>
    <row r="798" spans="27:27" x14ac:dyDescent="0.2">
      <c r="AA798" s="67"/>
    </row>
    <row r="799" spans="27:27" x14ac:dyDescent="0.2">
      <c r="AA799" s="67"/>
    </row>
    <row r="800" spans="27:27" x14ac:dyDescent="0.2">
      <c r="AA800" s="67"/>
    </row>
    <row r="801" spans="27:27" x14ac:dyDescent="0.2">
      <c r="AA801" s="67"/>
    </row>
    <row r="802" spans="27:27" x14ac:dyDescent="0.2">
      <c r="AA802" s="67"/>
    </row>
    <row r="803" spans="27:27" x14ac:dyDescent="0.2">
      <c r="AA803" s="67"/>
    </row>
    <row r="804" spans="27:27" x14ac:dyDescent="0.2">
      <c r="AA804" s="67"/>
    </row>
    <row r="805" spans="27:27" x14ac:dyDescent="0.2">
      <c r="AA805" s="67"/>
    </row>
    <row r="806" spans="27:27" x14ac:dyDescent="0.2">
      <c r="AA806" s="67"/>
    </row>
    <row r="807" spans="27:27" x14ac:dyDescent="0.2">
      <c r="AA807" s="67"/>
    </row>
    <row r="808" spans="27:27" x14ac:dyDescent="0.2">
      <c r="AA808" s="67"/>
    </row>
    <row r="809" spans="27:27" x14ac:dyDescent="0.2">
      <c r="AA809" s="67"/>
    </row>
    <row r="810" spans="27:27" x14ac:dyDescent="0.2">
      <c r="AA810" s="67"/>
    </row>
    <row r="811" spans="27:27" x14ac:dyDescent="0.2">
      <c r="AA811" s="67"/>
    </row>
    <row r="812" spans="27:27" x14ac:dyDescent="0.2">
      <c r="AA812" s="67"/>
    </row>
    <row r="813" spans="27:27" x14ac:dyDescent="0.2">
      <c r="AA813" s="67"/>
    </row>
    <row r="814" spans="27:27" x14ac:dyDescent="0.2">
      <c r="AA814" s="67"/>
    </row>
    <row r="815" spans="27:27" x14ac:dyDescent="0.2">
      <c r="AA815" s="67"/>
    </row>
    <row r="816" spans="27:27" x14ac:dyDescent="0.2">
      <c r="AA816" s="67"/>
    </row>
    <row r="817" spans="27:27" x14ac:dyDescent="0.2">
      <c r="AA817" s="67"/>
    </row>
    <row r="818" spans="27:27" x14ac:dyDescent="0.2">
      <c r="AA818" s="67"/>
    </row>
    <row r="819" spans="27:27" x14ac:dyDescent="0.2">
      <c r="AA819" s="67"/>
    </row>
    <row r="820" spans="27:27" x14ac:dyDescent="0.2">
      <c r="AA820" s="67"/>
    </row>
    <row r="821" spans="27:27" x14ac:dyDescent="0.2">
      <c r="AA821" s="67"/>
    </row>
    <row r="822" spans="27:27" x14ac:dyDescent="0.2">
      <c r="AA822" s="67"/>
    </row>
    <row r="823" spans="27:27" x14ac:dyDescent="0.2">
      <c r="AA823" s="82"/>
    </row>
    <row r="824" spans="27:27" x14ac:dyDescent="0.2">
      <c r="AA824" s="82"/>
    </row>
    <row r="825" spans="27:27" x14ac:dyDescent="0.2">
      <c r="AA825" s="82"/>
    </row>
    <row r="826" spans="27:27" x14ac:dyDescent="0.2">
      <c r="AA826" s="82"/>
    </row>
    <row r="827" spans="27:27" x14ac:dyDescent="0.2">
      <c r="AA827" s="82"/>
    </row>
    <row r="828" spans="27:27" x14ac:dyDescent="0.2">
      <c r="AA828" s="82"/>
    </row>
    <row r="829" spans="27:27" x14ac:dyDescent="0.2">
      <c r="AA829" s="82"/>
    </row>
    <row r="830" spans="27:27" x14ac:dyDescent="0.2">
      <c r="AA830" s="82"/>
    </row>
    <row r="831" spans="27:27" x14ac:dyDescent="0.2">
      <c r="AA831" s="82"/>
    </row>
    <row r="832" spans="27:27" x14ac:dyDescent="0.2">
      <c r="AA832" s="82"/>
    </row>
    <row r="833" spans="27:27" x14ac:dyDescent="0.2">
      <c r="AA833" s="82"/>
    </row>
    <row r="834" spans="27:27" x14ac:dyDescent="0.2">
      <c r="AA834" s="82"/>
    </row>
    <row r="835" spans="27:27" x14ac:dyDescent="0.2">
      <c r="AA835" s="82"/>
    </row>
    <row r="836" spans="27:27" x14ac:dyDescent="0.2">
      <c r="AA836" s="82"/>
    </row>
    <row r="837" spans="27:27" x14ac:dyDescent="0.2">
      <c r="AA837" s="82"/>
    </row>
    <row r="838" spans="27:27" x14ac:dyDescent="0.2">
      <c r="AA838" s="82"/>
    </row>
    <row r="839" spans="27:27" x14ac:dyDescent="0.2">
      <c r="AA839" s="82"/>
    </row>
    <row r="840" spans="27:27" x14ac:dyDescent="0.2">
      <c r="AA840" s="82"/>
    </row>
    <row r="841" spans="27:27" x14ac:dyDescent="0.2">
      <c r="AA841" s="82"/>
    </row>
    <row r="842" spans="27:27" x14ac:dyDescent="0.2">
      <c r="AA842" s="82"/>
    </row>
    <row r="843" spans="27:27" x14ac:dyDescent="0.2">
      <c r="AA843" s="82"/>
    </row>
    <row r="844" spans="27:27" x14ac:dyDescent="0.2">
      <c r="AA844" s="82"/>
    </row>
    <row r="845" spans="27:27" x14ac:dyDescent="0.2">
      <c r="AA845" s="82"/>
    </row>
    <row r="846" spans="27:27" x14ac:dyDescent="0.2">
      <c r="AA846" s="82"/>
    </row>
    <row r="847" spans="27:27" x14ac:dyDescent="0.2">
      <c r="AA847" s="82"/>
    </row>
    <row r="848" spans="27:27" x14ac:dyDescent="0.2">
      <c r="AA848" s="82"/>
    </row>
    <row r="849" spans="27:27" x14ac:dyDescent="0.2">
      <c r="AA849" s="82"/>
    </row>
    <row r="850" spans="27:27" x14ac:dyDescent="0.2">
      <c r="AA850" s="82"/>
    </row>
    <row r="851" spans="27:27" x14ac:dyDescent="0.2">
      <c r="AA851" s="82"/>
    </row>
    <row r="852" spans="27:27" x14ac:dyDescent="0.2">
      <c r="AA852" s="82"/>
    </row>
    <row r="853" spans="27:27" x14ac:dyDescent="0.2">
      <c r="AA853" s="82"/>
    </row>
    <row r="854" spans="27:27" x14ac:dyDescent="0.2">
      <c r="AA854" s="82"/>
    </row>
    <row r="855" spans="27:27" x14ac:dyDescent="0.2">
      <c r="AA855" s="82"/>
    </row>
    <row r="856" spans="27:27" x14ac:dyDescent="0.2">
      <c r="AA856" s="82"/>
    </row>
    <row r="857" spans="27:27" x14ac:dyDescent="0.2">
      <c r="AA857" s="82"/>
    </row>
    <row r="858" spans="27:27" x14ac:dyDescent="0.2">
      <c r="AA858" s="82"/>
    </row>
    <row r="859" spans="27:27" x14ac:dyDescent="0.2">
      <c r="AA859" s="82"/>
    </row>
    <row r="860" spans="27:27" x14ac:dyDescent="0.2">
      <c r="AA860" s="82"/>
    </row>
    <row r="861" spans="27:27" x14ac:dyDescent="0.2">
      <c r="AA861" s="82"/>
    </row>
    <row r="862" spans="27:27" x14ac:dyDescent="0.2">
      <c r="AA862" s="82"/>
    </row>
    <row r="863" spans="27:27" x14ac:dyDescent="0.2">
      <c r="AA863" s="82"/>
    </row>
    <row r="864" spans="27:27" x14ac:dyDescent="0.2">
      <c r="AA864" s="82"/>
    </row>
    <row r="865" spans="27:27" x14ac:dyDescent="0.2">
      <c r="AA865" s="82"/>
    </row>
    <row r="866" spans="27:27" x14ac:dyDescent="0.2">
      <c r="AA866" s="82"/>
    </row>
    <row r="867" spans="27:27" x14ac:dyDescent="0.2">
      <c r="AA867" s="82"/>
    </row>
    <row r="868" spans="27:27" x14ac:dyDescent="0.2">
      <c r="AA868" s="82"/>
    </row>
    <row r="869" spans="27:27" x14ac:dyDescent="0.2">
      <c r="AA869" s="82"/>
    </row>
    <row r="870" spans="27:27" x14ac:dyDescent="0.2">
      <c r="AA870" s="82"/>
    </row>
    <row r="871" spans="27:27" x14ac:dyDescent="0.2">
      <c r="AA871" s="82"/>
    </row>
    <row r="872" spans="27:27" x14ac:dyDescent="0.2">
      <c r="AA872" s="82"/>
    </row>
    <row r="873" spans="27:27" x14ac:dyDescent="0.2">
      <c r="AA873" s="82"/>
    </row>
    <row r="874" spans="27:27" x14ac:dyDescent="0.2">
      <c r="AA874" s="82"/>
    </row>
    <row r="875" spans="27:27" x14ac:dyDescent="0.2">
      <c r="AA875" s="82"/>
    </row>
    <row r="876" spans="27:27" x14ac:dyDescent="0.2">
      <c r="AA876" s="82"/>
    </row>
    <row r="877" spans="27:27" x14ac:dyDescent="0.2">
      <c r="AA877" s="82"/>
    </row>
    <row r="878" spans="27:27" x14ac:dyDescent="0.2">
      <c r="AA878" s="82"/>
    </row>
    <row r="879" spans="27:27" x14ac:dyDescent="0.2">
      <c r="AA879" s="82"/>
    </row>
    <row r="880" spans="27:27" x14ac:dyDescent="0.2">
      <c r="AA880" s="82"/>
    </row>
    <row r="881" spans="27:27" x14ac:dyDescent="0.2">
      <c r="AA881" s="82"/>
    </row>
    <row r="882" spans="27:27" x14ac:dyDescent="0.2">
      <c r="AA882" s="82"/>
    </row>
    <row r="883" spans="27:27" x14ac:dyDescent="0.2">
      <c r="AA883" s="82"/>
    </row>
    <row r="884" spans="27:27" x14ac:dyDescent="0.2">
      <c r="AA884" s="82"/>
    </row>
    <row r="885" spans="27:27" x14ac:dyDescent="0.2">
      <c r="AA885" s="82"/>
    </row>
  </sheetData>
  <mergeCells count="6">
    <mergeCell ref="D8:F8"/>
    <mergeCell ref="AC2:AU2"/>
    <mergeCell ref="V6:X6"/>
    <mergeCell ref="F1:X1"/>
    <mergeCell ref="F3:X3"/>
    <mergeCell ref="F2:X2"/>
  </mergeCells>
  <phoneticPr fontId="13" type="noConversion"/>
  <printOptions horizontalCentered="1"/>
  <pageMargins left="0.5" right="0.5" top="1" bottom="0.5" header="0.5" footer="0.5"/>
  <pageSetup scale="62" fitToHeight="0" orientation="landscape" r:id="rId1"/>
  <headerFooter alignWithMargins="0"/>
  <rowBreaks count="8" manualBreakCount="8">
    <brk id="49" min="3" max="23" man="1"/>
    <brk id="97" min="3" max="23" man="1"/>
    <brk id="134" min="3" max="23" man="1"/>
    <brk id="166" min="3" max="23" man="1"/>
    <brk id="210" min="3" max="23" man="1"/>
    <brk id="239" min="3" max="23" man="1"/>
    <brk id="272" min="3" max="23" man="1"/>
    <brk id="327" min="3"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AD1598"/>
  <sheetViews>
    <sheetView workbookViewId="0">
      <selection activeCell="S29" sqref="S29"/>
    </sheetView>
  </sheetViews>
  <sheetFormatPr defaultColWidth="9.77734375" defaultRowHeight="15" x14ac:dyDescent="0.2"/>
  <cols>
    <col min="1" max="1" width="9.6640625" style="16" bestFit="1" customWidth="1"/>
    <col min="2" max="2" width="17.77734375" style="16" customWidth="1"/>
    <col min="3" max="3" width="7.77734375" style="16" customWidth="1"/>
    <col min="4" max="4" width="2" style="16" customWidth="1"/>
    <col min="5" max="5" width="8.6640625" style="16" customWidth="1"/>
    <col min="6" max="6" width="1.88671875" style="16" customWidth="1"/>
    <col min="7" max="7" width="8.6640625" style="16" customWidth="1"/>
    <col min="8" max="8" width="2" style="16" customWidth="1"/>
    <col min="9" max="9" width="8.6640625" style="16" customWidth="1"/>
    <col min="10" max="10" width="2" style="16" customWidth="1"/>
    <col min="11" max="11" width="8.6640625" style="16" customWidth="1"/>
    <col min="12" max="12" width="2" style="16" customWidth="1"/>
    <col min="13" max="13" width="8.6640625" style="16" customWidth="1"/>
    <col min="14" max="14" width="4.77734375" style="16" customWidth="1"/>
    <col min="15" max="15" width="10.5546875" style="16" customWidth="1"/>
    <col min="16" max="18" width="10.6640625" style="16" customWidth="1"/>
    <col min="19" max="19" width="9.77734375" style="16" customWidth="1"/>
    <col min="20" max="20" width="10.44140625" style="16" bestFit="1" customWidth="1"/>
    <col min="21" max="21" width="7.5546875" style="16" bestFit="1" customWidth="1"/>
    <col min="22" max="22" width="7.77734375" style="16" customWidth="1"/>
    <col min="23" max="23" width="10.77734375" style="16" customWidth="1"/>
    <col min="24" max="24" width="7.77734375" style="16" customWidth="1"/>
    <col min="25" max="25" width="8.77734375" style="16" customWidth="1"/>
    <col min="26" max="26" width="2.77734375" style="16" customWidth="1"/>
    <col min="27" max="27" width="9.77734375" style="16" customWidth="1"/>
    <col min="28" max="28" width="2.77734375" style="16" customWidth="1"/>
    <col min="29" max="29" width="7.77734375" style="16" customWidth="1"/>
    <col min="30" max="16384" width="9.77734375" style="16"/>
  </cols>
  <sheetData>
    <row r="1" spans="1:30" x14ac:dyDescent="0.2">
      <c r="B1" s="15" t="s">
        <v>7</v>
      </c>
      <c r="C1" s="15"/>
      <c r="D1" s="15"/>
      <c r="E1" s="15"/>
      <c r="F1" s="15"/>
      <c r="G1" s="15"/>
      <c r="H1" s="15"/>
      <c r="I1" s="15"/>
      <c r="J1" s="15"/>
      <c r="K1" s="15"/>
      <c r="L1" s="15"/>
      <c r="M1" s="15"/>
    </row>
    <row r="2" spans="1:30" x14ac:dyDescent="0.2">
      <c r="B2" s="15"/>
      <c r="C2" s="15"/>
      <c r="D2" s="15"/>
      <c r="E2" s="15"/>
      <c r="F2" s="15"/>
      <c r="G2" s="15"/>
      <c r="H2" s="15"/>
      <c r="I2" s="15"/>
      <c r="J2" s="15"/>
      <c r="K2" s="15"/>
      <c r="L2" s="15"/>
      <c r="M2" s="15"/>
    </row>
    <row r="3" spans="1:30" ht="13.35" customHeight="1" x14ac:dyDescent="0.2">
      <c r="B3" s="1" t="s">
        <v>135</v>
      </c>
      <c r="C3" s="293"/>
      <c r="D3" s="293"/>
      <c r="E3" s="293"/>
      <c r="F3" s="293"/>
      <c r="G3" s="293"/>
      <c r="H3" s="293"/>
      <c r="I3" s="293"/>
      <c r="J3" s="293"/>
      <c r="K3" s="293"/>
      <c r="L3" s="293"/>
      <c r="M3" s="293"/>
      <c r="N3" s="2"/>
      <c r="O3" s="2"/>
      <c r="P3" s="2"/>
      <c r="Q3" s="2"/>
      <c r="R3" s="2"/>
      <c r="S3" s="2"/>
      <c r="T3" s="2"/>
      <c r="U3" s="2"/>
      <c r="V3" s="2"/>
      <c r="W3" s="2"/>
      <c r="X3" s="2"/>
      <c r="Y3" s="2"/>
      <c r="Z3" s="2"/>
      <c r="AA3" s="2"/>
      <c r="AB3" s="2"/>
      <c r="AC3" s="2"/>
      <c r="AD3" s="2"/>
    </row>
    <row r="4" spans="1:30" ht="13.35" customHeight="1" x14ac:dyDescent="0.2">
      <c r="B4" s="294"/>
      <c r="C4" s="294"/>
      <c r="D4" s="294"/>
      <c r="E4" s="294"/>
      <c r="F4" s="294"/>
      <c r="G4" s="294"/>
      <c r="H4" s="294"/>
      <c r="I4" s="294"/>
      <c r="J4" s="294"/>
      <c r="K4" s="294"/>
      <c r="L4" s="294"/>
      <c r="M4" s="294"/>
      <c r="N4" s="2"/>
      <c r="O4" s="2"/>
      <c r="P4" s="2"/>
      <c r="Q4" s="2"/>
      <c r="R4" s="2"/>
      <c r="S4" s="2"/>
      <c r="T4" s="2"/>
      <c r="U4" s="2"/>
      <c r="V4" s="2"/>
      <c r="W4" s="2"/>
      <c r="X4" s="2"/>
      <c r="Y4" s="2"/>
      <c r="Z4" s="2"/>
      <c r="AA4" s="2"/>
      <c r="AB4" s="2"/>
      <c r="AC4" s="2"/>
      <c r="AD4" s="2"/>
    </row>
    <row r="5" spans="1:30" ht="13.35" customHeight="1" x14ac:dyDescent="0.2">
      <c r="B5" s="294" t="s">
        <v>607</v>
      </c>
      <c r="C5" s="294"/>
      <c r="D5" s="294"/>
      <c r="E5" s="294"/>
      <c r="F5" s="294"/>
      <c r="G5" s="294"/>
      <c r="H5" s="294"/>
      <c r="I5" s="294"/>
      <c r="J5" s="294"/>
      <c r="K5" s="294"/>
      <c r="L5" s="294"/>
      <c r="M5" s="294"/>
      <c r="N5" s="2"/>
      <c r="O5" s="2"/>
      <c r="P5" s="2"/>
      <c r="Q5" s="2"/>
      <c r="R5" s="2"/>
      <c r="S5" s="2"/>
      <c r="T5" s="2"/>
      <c r="U5" s="2"/>
      <c r="V5" s="2"/>
      <c r="W5" s="2"/>
      <c r="X5" s="2"/>
      <c r="Y5" s="2"/>
      <c r="Z5" s="2"/>
      <c r="AA5" s="2"/>
      <c r="AB5" s="2"/>
      <c r="AC5" s="2"/>
      <c r="AD5" s="2"/>
    </row>
    <row r="6" spans="1:30" ht="13.35" customHeight="1" x14ac:dyDescent="0.2">
      <c r="B6" s="294" t="s">
        <v>608</v>
      </c>
      <c r="C6" s="294"/>
      <c r="D6" s="294"/>
      <c r="E6" s="294"/>
      <c r="F6" s="294"/>
      <c r="G6" s="294"/>
      <c r="H6" s="294"/>
      <c r="I6" s="294"/>
      <c r="J6" s="294"/>
      <c r="K6" s="294"/>
      <c r="L6" s="294"/>
      <c r="M6" s="294"/>
      <c r="N6" s="2"/>
      <c r="O6" s="2"/>
      <c r="P6" s="2"/>
      <c r="Q6" s="2"/>
      <c r="R6" s="2"/>
      <c r="S6" s="2"/>
      <c r="T6" s="2"/>
      <c r="U6" s="2"/>
      <c r="V6" s="2"/>
      <c r="W6" s="2"/>
      <c r="X6" s="2"/>
      <c r="Y6" s="2"/>
      <c r="Z6" s="2"/>
      <c r="AA6" s="2"/>
      <c r="AB6" s="2"/>
      <c r="AC6" s="2"/>
      <c r="AD6" s="2"/>
    </row>
    <row r="7" spans="1:30" ht="13.35" customHeight="1" x14ac:dyDescent="0.2">
      <c r="B7" s="294"/>
      <c r="C7" s="294"/>
      <c r="D7" s="294"/>
      <c r="E7" s="294"/>
      <c r="F7" s="294"/>
      <c r="G7" s="294"/>
      <c r="H7" s="294"/>
      <c r="I7" s="294"/>
      <c r="J7" s="294"/>
      <c r="K7" s="294"/>
      <c r="L7" s="294"/>
      <c r="M7" s="294"/>
      <c r="N7" s="2"/>
      <c r="O7" s="2"/>
      <c r="P7" s="2"/>
      <c r="Q7" s="2"/>
      <c r="R7" s="2"/>
      <c r="S7" s="2"/>
      <c r="T7" s="2"/>
      <c r="U7" s="2"/>
      <c r="V7" s="2"/>
      <c r="W7" s="2"/>
      <c r="X7" s="2"/>
      <c r="Y7" s="2"/>
      <c r="Z7" s="2"/>
      <c r="AA7" s="2"/>
      <c r="AB7" s="2"/>
      <c r="AC7" s="2"/>
      <c r="AD7" s="2"/>
    </row>
    <row r="8" spans="1:30" ht="27.6" customHeight="1" x14ac:dyDescent="0.2">
      <c r="B8" s="708" t="s">
        <v>136</v>
      </c>
      <c r="C8" s="708"/>
      <c r="D8" s="708"/>
      <c r="E8" s="708"/>
      <c r="F8" s="708"/>
      <c r="G8" s="708"/>
      <c r="H8" s="708"/>
      <c r="I8" s="708"/>
      <c r="J8" s="708"/>
      <c r="K8" s="708"/>
      <c r="L8" s="708"/>
      <c r="M8" s="708"/>
      <c r="N8" s="2"/>
      <c r="O8" s="2"/>
      <c r="P8" s="2"/>
      <c r="Q8" s="2"/>
      <c r="R8" s="2"/>
      <c r="S8" s="2"/>
      <c r="T8" s="2"/>
      <c r="U8" s="2"/>
      <c r="V8" s="2"/>
      <c r="W8" s="2"/>
      <c r="X8" s="2"/>
      <c r="Y8" s="2"/>
      <c r="Z8" s="2"/>
      <c r="AA8" s="2"/>
      <c r="AB8" s="2"/>
      <c r="AC8" s="2"/>
      <c r="AD8" s="2"/>
    </row>
    <row r="9" spans="1:30" ht="10.7" customHeight="1" x14ac:dyDescent="0.2">
      <c r="B9" s="294"/>
      <c r="C9" s="294"/>
      <c r="D9" s="294"/>
      <c r="E9" s="294"/>
      <c r="F9" s="294"/>
      <c r="G9" s="294"/>
      <c r="H9" s="294"/>
      <c r="I9" s="294"/>
      <c r="J9" s="294"/>
      <c r="K9" s="294"/>
      <c r="L9" s="294"/>
      <c r="M9" s="294"/>
      <c r="N9" s="2"/>
      <c r="O9" s="2"/>
      <c r="P9" s="2"/>
      <c r="Q9" s="2"/>
      <c r="R9" s="2"/>
      <c r="S9" s="2"/>
      <c r="T9" s="2"/>
      <c r="U9" s="2"/>
      <c r="V9" s="2"/>
      <c r="W9" s="2"/>
      <c r="X9" s="2"/>
      <c r="Y9" s="2"/>
      <c r="Z9" s="2"/>
      <c r="AA9" s="2"/>
      <c r="AB9" s="2"/>
      <c r="AC9" s="2"/>
      <c r="AD9" s="2"/>
    </row>
    <row r="10" spans="1:30" ht="13.35" customHeight="1" x14ac:dyDescent="0.2">
      <c r="B10" s="294"/>
      <c r="C10" s="294"/>
      <c r="D10" s="294"/>
      <c r="E10" s="294"/>
      <c r="F10" s="293" t="s">
        <v>137</v>
      </c>
      <c r="G10" s="293"/>
      <c r="H10" s="293"/>
      <c r="I10" s="294"/>
      <c r="J10" s="294"/>
      <c r="K10" s="294"/>
      <c r="L10" s="294"/>
      <c r="M10" s="294"/>
      <c r="N10" s="2"/>
      <c r="O10" s="2"/>
      <c r="P10" s="2"/>
      <c r="Q10" s="2"/>
      <c r="R10" s="2"/>
      <c r="S10" s="2"/>
      <c r="T10" s="2"/>
      <c r="U10" s="2"/>
      <c r="V10" s="2"/>
      <c r="W10" s="2"/>
      <c r="X10" s="2"/>
      <c r="Y10" s="2"/>
      <c r="Z10" s="2"/>
      <c r="AA10" s="2"/>
      <c r="AB10" s="2"/>
      <c r="AC10" s="2"/>
      <c r="AD10" s="2"/>
    </row>
    <row r="11" spans="1:30" ht="13.35" customHeight="1" x14ac:dyDescent="0.2">
      <c r="B11" s="293" t="s">
        <v>138</v>
      </c>
      <c r="C11" s="293"/>
      <c r="D11" s="294"/>
      <c r="E11" s="294"/>
      <c r="F11" s="293" t="s">
        <v>139</v>
      </c>
      <c r="G11" s="293"/>
      <c r="H11" s="293"/>
      <c r="I11" s="294"/>
      <c r="J11" s="293" t="s">
        <v>140</v>
      </c>
      <c r="K11" s="293"/>
      <c r="L11" s="293"/>
      <c r="M11" s="294"/>
      <c r="N11" s="2"/>
      <c r="O11" s="2"/>
      <c r="P11" s="257"/>
      <c r="Q11" s="257"/>
      <c r="R11" s="257"/>
      <c r="S11" s="2"/>
      <c r="T11" s="2"/>
      <c r="U11" s="2"/>
      <c r="V11" s="2"/>
      <c r="W11" s="2"/>
      <c r="X11" s="2"/>
      <c r="Y11" s="2"/>
      <c r="Z11" s="2"/>
      <c r="AA11" s="2"/>
      <c r="AB11" s="2"/>
      <c r="AC11" s="2"/>
      <c r="AD11" s="2"/>
    </row>
    <row r="12" spans="1:30" ht="13.35" customHeight="1" x14ac:dyDescent="0.2">
      <c r="B12" s="293" t="s">
        <v>141</v>
      </c>
      <c r="C12" s="293"/>
      <c r="D12" s="294"/>
      <c r="E12" s="294"/>
      <c r="F12" s="293" t="s">
        <v>415</v>
      </c>
      <c r="G12" s="293"/>
      <c r="H12" s="293"/>
      <c r="I12" s="294"/>
      <c r="J12" s="293" t="s">
        <v>142</v>
      </c>
      <c r="K12" s="293"/>
      <c r="L12" s="293"/>
      <c r="M12" s="294"/>
      <c r="N12" s="2"/>
      <c r="O12" s="2"/>
      <c r="P12" s="257"/>
      <c r="Q12" s="257"/>
      <c r="R12" s="257"/>
      <c r="S12"/>
      <c r="T12"/>
      <c r="U12"/>
      <c r="V12"/>
      <c r="W12"/>
      <c r="X12"/>
      <c r="Y12"/>
      <c r="Z12"/>
      <c r="AA12" s="2"/>
      <c r="AB12" s="2"/>
      <c r="AC12" s="2"/>
      <c r="AD12" s="2"/>
    </row>
    <row r="13" spans="1:30" ht="13.35" customHeight="1" x14ac:dyDescent="0.2">
      <c r="B13" s="296" t="s">
        <v>143</v>
      </c>
      <c r="C13" s="296"/>
      <c r="D13" s="294"/>
      <c r="E13" s="294"/>
      <c r="F13" s="296" t="s">
        <v>144</v>
      </c>
      <c r="G13" s="296"/>
      <c r="H13" s="296"/>
      <c r="I13" s="294"/>
      <c r="J13" s="296" t="s">
        <v>145</v>
      </c>
      <c r="K13" s="296"/>
      <c r="L13" s="296"/>
      <c r="M13" s="294"/>
      <c r="N13" s="2"/>
      <c r="O13" s="2"/>
      <c r="P13" s="257"/>
      <c r="Q13" s="257"/>
      <c r="R13" s="257"/>
      <c r="S13" s="244"/>
      <c r="T13" s="243"/>
      <c r="U13" s="244"/>
      <c r="V13"/>
      <c r="W13"/>
      <c r="X13"/>
      <c r="Y13"/>
      <c r="Z13"/>
      <c r="AA13" s="2"/>
      <c r="AB13" s="2"/>
      <c r="AC13" s="2"/>
      <c r="AD13" s="2"/>
    </row>
    <row r="14" spans="1:30" ht="12.75" customHeight="1" x14ac:dyDescent="0.2">
      <c r="B14" s="294"/>
      <c r="C14" s="294"/>
      <c r="D14" s="294"/>
      <c r="E14" s="294"/>
      <c r="F14" s="294"/>
      <c r="G14" s="294"/>
      <c r="H14" s="294"/>
      <c r="I14" s="294"/>
      <c r="J14" s="294"/>
      <c r="K14" s="294"/>
      <c r="L14" s="294"/>
      <c r="M14" s="294"/>
      <c r="N14" s="2"/>
      <c r="P14" s="257"/>
      <c r="Q14" s="257"/>
      <c r="R14" s="257"/>
      <c r="S14" s="242"/>
      <c r="T14" s="243"/>
      <c r="U14" s="245"/>
      <c r="V14" s="67"/>
      <c r="W14" s="67"/>
      <c r="X14" s="67"/>
      <c r="Y14" s="67"/>
      <c r="Z14"/>
      <c r="AA14" s="2"/>
      <c r="AB14" s="2"/>
      <c r="AC14" s="2"/>
      <c r="AD14" s="2"/>
    </row>
    <row r="15" spans="1:30" ht="13.35" customHeight="1" x14ac:dyDescent="0.2">
      <c r="A15" s="135"/>
      <c r="B15" s="294" t="s">
        <v>146</v>
      </c>
      <c r="C15" s="294"/>
      <c r="D15" s="294"/>
      <c r="E15" s="294"/>
      <c r="F15" s="294"/>
      <c r="G15" s="408">
        <v>15429</v>
      </c>
      <c r="H15" s="298"/>
      <c r="I15" s="294"/>
      <c r="J15" s="294"/>
      <c r="K15" s="300">
        <f>ROUND(G15/G$23,4)</f>
        <v>0.48080000000000001</v>
      </c>
      <c r="L15" s="294"/>
      <c r="M15" s="294"/>
      <c r="N15" s="2"/>
      <c r="O15" s="458"/>
      <c r="P15" s="119"/>
      <c r="Q15" s="119"/>
      <c r="R15" s="119"/>
      <c r="S15" s="242"/>
      <c r="T15" s="243"/>
      <c r="U15" s="245"/>
      <c r="V15" s="67"/>
      <c r="W15" s="67"/>
      <c r="X15" s="67"/>
      <c r="Y15" s="67"/>
      <c r="Z15"/>
      <c r="AA15" s="2"/>
      <c r="AB15" s="2"/>
      <c r="AC15" s="2"/>
      <c r="AD15" s="2"/>
    </row>
    <row r="16" spans="1:30" ht="13.35" customHeight="1" x14ac:dyDescent="0.2">
      <c r="A16" s="135"/>
      <c r="B16" s="294" t="s">
        <v>147</v>
      </c>
      <c r="C16" s="294"/>
      <c r="D16" s="294"/>
      <c r="E16" s="294"/>
      <c r="F16" s="294"/>
      <c r="G16" s="408">
        <v>10406</v>
      </c>
      <c r="H16" s="298"/>
      <c r="I16" s="294"/>
      <c r="J16" s="294"/>
      <c r="K16" s="300">
        <f t="shared" ref="K16:K21" si="0">ROUND(G16/G$23,4)</f>
        <v>0.32429999999999998</v>
      </c>
      <c r="L16" s="294"/>
      <c r="M16" s="294"/>
      <c r="N16" s="2"/>
      <c r="O16" s="458"/>
      <c r="P16" s="119"/>
      <c r="Q16" s="119"/>
      <c r="R16" s="119"/>
      <c r="S16" s="242"/>
      <c r="T16" s="243"/>
      <c r="U16" s="245"/>
      <c r="V16" s="67"/>
      <c r="W16"/>
      <c r="X16"/>
      <c r="Y16" s="67"/>
      <c r="Z16"/>
      <c r="AA16" s="2"/>
      <c r="AB16" s="2"/>
      <c r="AC16" s="2"/>
      <c r="AD16" s="2"/>
    </row>
    <row r="17" spans="1:30" ht="13.35" customHeight="1" x14ac:dyDescent="0.2">
      <c r="A17" s="135"/>
      <c r="B17" s="294" t="s">
        <v>148</v>
      </c>
      <c r="C17" s="294"/>
      <c r="D17" s="294"/>
      <c r="E17" s="294"/>
      <c r="F17" s="294"/>
      <c r="G17" s="408">
        <v>1692</v>
      </c>
      <c r="H17" s="298"/>
      <c r="I17" s="294"/>
      <c r="J17" s="294"/>
      <c r="K17" s="300">
        <f t="shared" si="0"/>
        <v>5.2699999999999997E-2</v>
      </c>
      <c r="L17" s="294"/>
      <c r="M17" s="294"/>
      <c r="N17" s="2"/>
      <c r="O17" s="458"/>
      <c r="P17" s="119"/>
      <c r="Q17" s="119"/>
      <c r="R17" s="119"/>
      <c r="S17" s="242"/>
      <c r="T17" s="243"/>
      <c r="U17" s="245"/>
      <c r="V17" s="67"/>
      <c r="W17"/>
      <c r="X17"/>
      <c r="Y17" s="67"/>
      <c r="Z17"/>
      <c r="AA17" s="2"/>
      <c r="AB17" s="2"/>
      <c r="AC17" s="2"/>
      <c r="AD17" s="2"/>
    </row>
    <row r="18" spans="1:30" ht="13.35" customHeight="1" x14ac:dyDescent="0.2">
      <c r="A18" s="135"/>
      <c r="B18" s="294" t="s">
        <v>150</v>
      </c>
      <c r="C18" s="294"/>
      <c r="D18" s="294"/>
      <c r="E18" s="294"/>
      <c r="F18" s="294"/>
      <c r="G18" s="408">
        <v>3194</v>
      </c>
      <c r="H18" s="298"/>
      <c r="I18" s="294"/>
      <c r="J18" s="294"/>
      <c r="K18" s="300">
        <f t="shared" si="0"/>
        <v>9.9500000000000005E-2</v>
      </c>
      <c r="L18" s="294"/>
      <c r="M18" s="294"/>
      <c r="N18" s="2"/>
      <c r="O18" s="458"/>
      <c r="P18" s="119"/>
      <c r="Q18" s="119"/>
      <c r="R18" s="119"/>
      <c r="S18" s="242"/>
      <c r="T18" s="245"/>
      <c r="U18" s="245"/>
      <c r="V18" s="67"/>
      <c r="W18"/>
      <c r="X18"/>
      <c r="Y18" s="67"/>
      <c r="Z18"/>
      <c r="AA18" s="2"/>
      <c r="AB18" s="2"/>
      <c r="AC18" s="2"/>
      <c r="AD18" s="2"/>
    </row>
    <row r="19" spans="1:30" ht="13.35" customHeight="1" x14ac:dyDescent="0.2">
      <c r="A19" s="135"/>
      <c r="B19" s="294" t="s">
        <v>267</v>
      </c>
      <c r="C19" s="294"/>
      <c r="D19" s="294"/>
      <c r="E19" s="294"/>
      <c r="F19" s="294"/>
      <c r="G19" s="408">
        <v>1169</v>
      </c>
      <c r="H19" s="298"/>
      <c r="I19" s="294"/>
      <c r="J19" s="294"/>
      <c r="K19" s="300">
        <f t="shared" si="0"/>
        <v>3.6400000000000002E-2</v>
      </c>
      <c r="L19" s="294"/>
      <c r="M19" s="294"/>
      <c r="N19" s="2"/>
      <c r="O19" s="458"/>
      <c r="P19" s="119"/>
      <c r="Q19" s="119"/>
      <c r="R19" s="119"/>
      <c r="S19" s="94"/>
      <c r="T19" s="94"/>
      <c r="U19" s="340"/>
      <c r="V19"/>
      <c r="W19"/>
      <c r="X19"/>
      <c r="Y19" s="67"/>
      <c r="Z19"/>
      <c r="AA19" s="2"/>
      <c r="AB19" s="2"/>
      <c r="AC19" s="2"/>
      <c r="AD19" s="2"/>
    </row>
    <row r="20" spans="1:30" ht="13.35" customHeight="1" x14ac:dyDescent="0.2">
      <c r="B20" s="294" t="s">
        <v>152</v>
      </c>
      <c r="C20" s="294"/>
      <c r="D20" s="294"/>
      <c r="E20" s="294"/>
      <c r="F20" s="294"/>
      <c r="G20" s="408">
        <v>98</v>
      </c>
      <c r="H20" s="298"/>
      <c r="I20" s="294"/>
      <c r="J20" s="294"/>
      <c r="K20" s="300">
        <f t="shared" si="0"/>
        <v>3.0999999999999999E-3</v>
      </c>
      <c r="L20" s="294"/>
      <c r="M20" s="294"/>
      <c r="N20" s="2"/>
      <c r="O20" s="261"/>
      <c r="P20" s="257"/>
      <c r="Q20" s="257"/>
      <c r="R20" s="257"/>
      <c r="S20" s="243"/>
      <c r="T20" s="181"/>
      <c r="U20" s="340"/>
      <c r="V20"/>
      <c r="W20"/>
      <c r="X20"/>
      <c r="Y20"/>
      <c r="Z20"/>
      <c r="AA20" s="2"/>
      <c r="AB20" s="2"/>
      <c r="AC20" s="2"/>
      <c r="AD20" s="2"/>
    </row>
    <row r="21" spans="1:30" ht="13.35" customHeight="1" x14ac:dyDescent="0.2">
      <c r="B21" s="294" t="s">
        <v>153</v>
      </c>
      <c r="C21" s="294"/>
      <c r="D21" s="294"/>
      <c r="E21" s="294"/>
      <c r="F21" s="294"/>
      <c r="G21" s="409">
        <v>104</v>
      </c>
      <c r="H21" s="298"/>
      <c r="I21" s="294"/>
      <c r="J21" s="294"/>
      <c r="K21" s="300">
        <f t="shared" si="0"/>
        <v>3.2000000000000002E-3</v>
      </c>
      <c r="L21" s="294"/>
      <c r="M21" s="294"/>
      <c r="N21" s="2"/>
      <c r="O21" s="458"/>
      <c r="P21" s="458"/>
      <c r="Q21" s="458"/>
      <c r="R21" s="458"/>
      <c r="S21" s="243"/>
      <c r="T21" s="340"/>
      <c r="U21" s="340"/>
      <c r="V21"/>
      <c r="W21"/>
      <c r="X21"/>
      <c r="Y21"/>
      <c r="Z21"/>
      <c r="AA21" s="2"/>
      <c r="AB21" s="2"/>
      <c r="AC21" s="2"/>
      <c r="AD21" s="2"/>
    </row>
    <row r="22" spans="1:30" ht="13.35" customHeight="1" x14ac:dyDescent="0.2">
      <c r="B22" s="294"/>
      <c r="C22" s="294"/>
      <c r="D22" s="294"/>
      <c r="E22" s="294"/>
      <c r="F22" s="294"/>
      <c r="G22" s="408"/>
      <c r="H22" s="298"/>
      <c r="I22" s="294"/>
      <c r="J22" s="294"/>
      <c r="K22" s="303"/>
      <c r="L22" s="294"/>
      <c r="M22" s="294"/>
      <c r="N22" s="2"/>
      <c r="O22" s="458"/>
      <c r="P22" s="257"/>
      <c r="Q22" s="257"/>
      <c r="R22" s="257"/>
      <c r="S22" s="243"/>
      <c r="T22" s="340"/>
      <c r="U22" s="340"/>
      <c r="V22"/>
      <c r="W22"/>
      <c r="X22"/>
      <c r="Y22"/>
      <c r="Z22"/>
      <c r="AA22" s="2"/>
      <c r="AB22" s="2"/>
      <c r="AC22" s="2"/>
      <c r="AD22" s="2"/>
    </row>
    <row r="23" spans="1:30" ht="13.35" customHeight="1" thickBot="1" x14ac:dyDescent="0.25">
      <c r="B23" s="294" t="s">
        <v>154</v>
      </c>
      <c r="C23" s="294"/>
      <c r="D23" s="294"/>
      <c r="E23" s="294"/>
      <c r="F23" s="294"/>
      <c r="G23" s="410">
        <f>SUM(G15:G22)</f>
        <v>32092</v>
      </c>
      <c r="H23" s="298"/>
      <c r="I23" s="294"/>
      <c r="J23" s="294"/>
      <c r="K23" s="300">
        <f>SUM(K15:K22)</f>
        <v>0.99999999999999989</v>
      </c>
      <c r="L23" s="294"/>
      <c r="M23" s="294"/>
      <c r="N23" s="2"/>
      <c r="O23" s="2"/>
      <c r="P23" s="257"/>
      <c r="Q23" s="257"/>
      <c r="R23" s="257"/>
      <c r="S23" s="243"/>
      <c r="T23" s="461"/>
      <c r="U23" s="461"/>
      <c r="V23"/>
      <c r="W23"/>
      <c r="X23"/>
      <c r="Y23"/>
      <c r="Z23"/>
      <c r="AA23" s="2"/>
      <c r="AB23" s="2"/>
      <c r="AC23" s="2"/>
      <c r="AD23" s="2"/>
    </row>
    <row r="24" spans="1:30" ht="13.35" customHeight="1" thickTop="1" x14ac:dyDescent="0.2">
      <c r="B24" s="294"/>
      <c r="C24" s="294"/>
      <c r="D24" s="294"/>
      <c r="E24" s="294"/>
      <c r="F24" s="294"/>
      <c r="G24" s="305"/>
      <c r="H24" s="294"/>
      <c r="I24" s="294"/>
      <c r="J24" s="294"/>
      <c r="K24" s="307"/>
      <c r="L24" s="294"/>
      <c r="M24" s="294"/>
      <c r="N24" s="2"/>
      <c r="O24" s="2"/>
      <c r="P24" s="257"/>
      <c r="Q24" s="257"/>
      <c r="R24" s="257"/>
      <c r="S24" s="243"/>
      <c r="T24" s="461"/>
      <c r="U24" s="461"/>
      <c r="V24"/>
      <c r="W24"/>
      <c r="X24"/>
      <c r="Y24"/>
      <c r="Z24"/>
      <c r="AA24" s="2"/>
      <c r="AB24" s="2"/>
      <c r="AC24" s="2"/>
      <c r="AD24" s="2"/>
    </row>
    <row r="25" spans="1:30" ht="13.35" customHeight="1" x14ac:dyDescent="0.2">
      <c r="B25" s="294"/>
      <c r="C25" s="294"/>
      <c r="D25" s="294"/>
      <c r="E25" s="294"/>
      <c r="F25" s="294"/>
      <c r="G25" s="301"/>
      <c r="H25" s="294"/>
      <c r="I25" s="294"/>
      <c r="J25" s="294"/>
      <c r="K25" s="294"/>
      <c r="L25" s="294"/>
      <c r="M25" s="294"/>
      <c r="N25" s="2"/>
      <c r="O25" s="2"/>
      <c r="P25" s="257"/>
      <c r="Q25" s="257"/>
      <c r="R25" s="257"/>
      <c r="S25" s="2"/>
      <c r="T25" s="182"/>
      <c r="U25" s="183"/>
      <c r="V25" s="2"/>
      <c r="W25" s="2"/>
      <c r="X25" s="2"/>
      <c r="Y25" s="2"/>
      <c r="Z25" s="2"/>
      <c r="AA25" s="2"/>
      <c r="AB25" s="2"/>
      <c r="AC25" s="2"/>
      <c r="AD25" s="2"/>
    </row>
    <row r="26" spans="1:30" ht="13.35" customHeight="1" x14ac:dyDescent="0.2">
      <c r="B26" s="294" t="s">
        <v>155</v>
      </c>
      <c r="C26" s="294"/>
      <c r="D26" s="294"/>
      <c r="E26" s="294"/>
      <c r="F26" s="294"/>
      <c r="G26" s="294"/>
      <c r="H26" s="294"/>
      <c r="I26" s="294"/>
      <c r="J26" s="294"/>
      <c r="K26" s="294"/>
      <c r="L26" s="294"/>
      <c r="M26" s="294"/>
      <c r="N26" s="2"/>
      <c r="O26" s="2"/>
      <c r="P26" s="257"/>
      <c r="Q26" s="257"/>
      <c r="R26" s="257"/>
      <c r="S26" s="2"/>
      <c r="T26" s="2"/>
      <c r="U26" s="2"/>
      <c r="V26" s="2"/>
      <c r="W26" s="2"/>
      <c r="X26" s="2"/>
      <c r="Y26" s="2"/>
      <c r="Z26" s="2"/>
      <c r="AA26" s="2"/>
      <c r="AB26" s="2"/>
      <c r="AC26" s="2"/>
      <c r="AD26" s="2"/>
    </row>
    <row r="27" spans="1:30" ht="13.35" customHeight="1" x14ac:dyDescent="0.2">
      <c r="B27" s="294" t="s">
        <v>156</v>
      </c>
      <c r="C27" s="294"/>
      <c r="D27" s="294"/>
      <c r="E27" s="294"/>
      <c r="F27" s="294"/>
      <c r="G27" s="294"/>
      <c r="H27" s="294"/>
      <c r="I27" s="294"/>
      <c r="J27" s="294"/>
      <c r="K27" s="294"/>
      <c r="L27" s="294"/>
      <c r="M27" s="294"/>
      <c r="N27" s="2"/>
      <c r="O27" s="2"/>
      <c r="P27" s="257"/>
      <c r="Q27" s="257"/>
      <c r="R27" s="257"/>
      <c r="S27" s="2"/>
      <c r="T27" s="2"/>
      <c r="U27" s="2"/>
      <c r="V27" s="2"/>
      <c r="W27" s="2"/>
      <c r="X27" s="2"/>
      <c r="Y27" s="2"/>
      <c r="Z27" s="2"/>
      <c r="AA27" s="2"/>
      <c r="AB27" s="2"/>
      <c r="AC27" s="2"/>
      <c r="AD27" s="2"/>
    </row>
    <row r="28" spans="1:30" ht="9.1999999999999993" customHeight="1" x14ac:dyDescent="0.2">
      <c r="B28" s="294"/>
      <c r="C28" s="294"/>
      <c r="D28" s="294"/>
      <c r="E28" s="294"/>
      <c r="F28" s="294"/>
      <c r="G28" s="294"/>
      <c r="H28" s="294"/>
      <c r="I28" s="294"/>
      <c r="J28" s="294"/>
      <c r="K28" s="294"/>
      <c r="L28" s="294"/>
      <c r="M28" s="294"/>
      <c r="N28" s="2"/>
      <c r="O28" s="2"/>
      <c r="P28" s="257"/>
      <c r="Q28" s="257"/>
      <c r="R28" s="257"/>
      <c r="S28" s="2"/>
      <c r="T28" s="2"/>
      <c r="U28" s="2"/>
      <c r="V28" s="2"/>
      <c r="W28" s="2"/>
      <c r="X28" s="2"/>
      <c r="Y28" s="2"/>
      <c r="Z28" s="2"/>
      <c r="AA28" s="2"/>
      <c r="AB28" s="2"/>
      <c r="AC28" s="2"/>
      <c r="AD28" s="2"/>
    </row>
    <row r="29" spans="1:30" ht="27.6" customHeight="1" x14ac:dyDescent="0.2">
      <c r="B29" s="708" t="s">
        <v>157</v>
      </c>
      <c r="C29" s="708"/>
      <c r="D29" s="708"/>
      <c r="E29" s="708"/>
      <c r="F29" s="708"/>
      <c r="G29" s="708"/>
      <c r="H29" s="708"/>
      <c r="I29" s="708"/>
      <c r="J29" s="708"/>
      <c r="K29" s="708"/>
      <c r="L29" s="708"/>
      <c r="M29" s="708"/>
      <c r="N29" s="2"/>
      <c r="O29" s="2"/>
      <c r="P29" s="257"/>
      <c r="Q29" s="257"/>
      <c r="R29" s="257"/>
      <c r="S29" s="2"/>
      <c r="T29" s="2"/>
      <c r="U29" s="2"/>
      <c r="V29" s="2"/>
      <c r="W29" s="2"/>
      <c r="X29" s="2"/>
      <c r="Y29" s="2"/>
      <c r="Z29" s="2"/>
      <c r="AA29" s="2"/>
      <c r="AB29" s="2"/>
      <c r="AC29" s="2"/>
      <c r="AD29" s="2"/>
    </row>
    <row r="30" spans="1:30" ht="7.9" customHeight="1" x14ac:dyDescent="0.2">
      <c r="B30" s="294"/>
      <c r="C30" s="294"/>
      <c r="D30" s="294"/>
      <c r="E30" s="294"/>
      <c r="F30" s="294"/>
      <c r="G30" s="294"/>
      <c r="H30" s="294"/>
      <c r="I30" s="294"/>
      <c r="J30" s="294"/>
      <c r="K30" s="294"/>
      <c r="L30" s="294"/>
      <c r="M30" s="294"/>
      <c r="N30" s="2"/>
      <c r="O30" s="2"/>
      <c r="P30" s="2"/>
      <c r="Q30" s="2"/>
      <c r="R30" s="2"/>
      <c r="S30" s="2"/>
      <c r="T30" s="2"/>
      <c r="U30" s="2"/>
      <c r="V30" s="2"/>
      <c r="W30" s="2"/>
      <c r="X30" s="2"/>
      <c r="Y30" s="2"/>
      <c r="Z30" s="2"/>
      <c r="AA30" s="2"/>
      <c r="AB30" s="2"/>
      <c r="AC30" s="2"/>
      <c r="AD30" s="2"/>
    </row>
    <row r="31" spans="1:30" ht="13.35" customHeight="1" x14ac:dyDescent="0.2">
      <c r="B31" s="294"/>
      <c r="C31" s="294"/>
      <c r="D31" s="294"/>
      <c r="E31" s="293" t="s">
        <v>137</v>
      </c>
      <c r="F31" s="293"/>
      <c r="G31" s="293"/>
      <c r="H31" s="294"/>
      <c r="I31" s="293" t="s">
        <v>158</v>
      </c>
      <c r="J31" s="293"/>
      <c r="K31" s="293"/>
      <c r="L31" s="294"/>
      <c r="M31" s="294"/>
      <c r="N31" s="2"/>
      <c r="O31" s="2"/>
      <c r="P31" s="2"/>
      <c r="Q31" s="2"/>
      <c r="R31" s="2"/>
      <c r="S31" s="2"/>
      <c r="T31" s="2"/>
      <c r="U31" s="2"/>
      <c r="V31" s="2"/>
      <c r="W31" s="2"/>
      <c r="X31" s="2"/>
      <c r="Y31" s="2"/>
      <c r="Z31" s="2"/>
      <c r="AA31" s="2"/>
      <c r="AB31" s="2"/>
      <c r="AC31" s="2"/>
      <c r="AD31" s="2"/>
    </row>
    <row r="32" spans="1:30" ht="13.35" customHeight="1" x14ac:dyDescent="0.2">
      <c r="B32" s="294"/>
      <c r="C32" s="294"/>
      <c r="D32" s="294"/>
      <c r="E32" s="293" t="s">
        <v>159</v>
      </c>
      <c r="F32" s="293"/>
      <c r="G32" s="293"/>
      <c r="H32" s="294"/>
      <c r="I32" s="293" t="s">
        <v>160</v>
      </c>
      <c r="J32" s="293"/>
      <c r="K32" s="293"/>
      <c r="L32" s="294"/>
      <c r="M32" s="294"/>
      <c r="N32" s="2"/>
      <c r="O32" s="2"/>
      <c r="P32" s="2"/>
      <c r="Q32" s="2"/>
      <c r="R32" s="2"/>
      <c r="S32" s="2"/>
      <c r="T32" s="2"/>
      <c r="U32" s="2"/>
      <c r="V32" s="2"/>
      <c r="W32" s="2"/>
      <c r="X32" s="2"/>
      <c r="Y32" s="2"/>
      <c r="Z32" s="2"/>
      <c r="AA32" s="2"/>
      <c r="AB32" s="2"/>
      <c r="AC32" s="2"/>
      <c r="AD32" s="2"/>
    </row>
    <row r="33" spans="2:30" ht="13.35" customHeight="1" x14ac:dyDescent="0.2">
      <c r="B33" s="293" t="s">
        <v>138</v>
      </c>
      <c r="C33" s="293"/>
      <c r="D33" s="294"/>
      <c r="E33" s="297" t="s">
        <v>140</v>
      </c>
      <c r="F33" s="297"/>
      <c r="G33" s="297" t="s">
        <v>161</v>
      </c>
      <c r="H33" s="341"/>
      <c r="I33" s="297" t="s">
        <v>140</v>
      </c>
      <c r="J33" s="297"/>
      <c r="K33" s="297" t="s">
        <v>161</v>
      </c>
      <c r="L33" s="341"/>
      <c r="M33" s="341" t="s">
        <v>140</v>
      </c>
      <c r="N33" s="2"/>
      <c r="O33" s="2"/>
      <c r="P33" s="2"/>
      <c r="Q33" s="2"/>
      <c r="R33" s="2"/>
      <c r="S33" s="2"/>
      <c r="T33" s="2"/>
      <c r="U33" s="2"/>
      <c r="V33" s="2"/>
      <c r="W33" s="2"/>
      <c r="X33" s="2"/>
      <c r="Y33" s="2"/>
      <c r="Z33" s="2"/>
      <c r="AA33" s="2"/>
      <c r="AB33" s="2"/>
      <c r="AC33" s="2"/>
      <c r="AD33" s="2"/>
    </row>
    <row r="34" spans="2:30" ht="13.35" customHeight="1" x14ac:dyDescent="0.2">
      <c r="B34" s="293" t="s">
        <v>141</v>
      </c>
      <c r="C34" s="293"/>
      <c r="D34" s="294"/>
      <c r="E34" s="341" t="s">
        <v>162</v>
      </c>
      <c r="F34" s="341"/>
      <c r="G34" s="341" t="s">
        <v>142</v>
      </c>
      <c r="H34" s="341"/>
      <c r="I34" s="341" t="s">
        <v>142</v>
      </c>
      <c r="J34" s="341"/>
      <c r="K34" s="341" t="s">
        <v>142</v>
      </c>
      <c r="L34" s="341"/>
      <c r="M34" s="341" t="s">
        <v>142</v>
      </c>
      <c r="N34" s="2"/>
      <c r="O34" s="2"/>
      <c r="P34" s="2"/>
      <c r="Q34" s="2"/>
      <c r="R34" s="2"/>
      <c r="S34" s="2"/>
      <c r="T34" s="2"/>
      <c r="U34" s="2"/>
      <c r="V34" s="2"/>
      <c r="W34" s="2"/>
      <c r="X34" s="2"/>
      <c r="Y34" s="2"/>
      <c r="Z34" s="2"/>
      <c r="AA34" s="2"/>
      <c r="AB34" s="2"/>
      <c r="AC34" s="2"/>
      <c r="AD34" s="2"/>
    </row>
    <row r="35" spans="2:30" ht="13.35" customHeight="1" x14ac:dyDescent="0.2">
      <c r="B35" s="296" t="s">
        <v>143</v>
      </c>
      <c r="C35" s="296"/>
      <c r="D35" s="294"/>
      <c r="E35" s="297" t="s">
        <v>163</v>
      </c>
      <c r="F35" s="294"/>
      <c r="G35" s="384" t="s">
        <v>164</v>
      </c>
      <c r="H35" s="294"/>
      <c r="I35" s="297" t="s">
        <v>165</v>
      </c>
      <c r="J35" s="294"/>
      <c r="K35" s="384" t="s">
        <v>166</v>
      </c>
      <c r="L35" s="294"/>
      <c r="M35" s="297" t="s">
        <v>167</v>
      </c>
      <c r="N35" s="2"/>
      <c r="O35" s="2"/>
      <c r="P35" s="2"/>
      <c r="Q35" s="2"/>
      <c r="R35" s="2"/>
      <c r="S35" s="2"/>
      <c r="T35" s="2"/>
      <c r="U35" s="2"/>
      <c r="V35" s="2"/>
      <c r="W35" s="2"/>
      <c r="X35" s="2"/>
      <c r="Y35" s="2"/>
      <c r="Z35" s="2"/>
      <c r="AA35" s="2"/>
      <c r="AB35" s="2"/>
      <c r="AC35" s="2"/>
      <c r="AD35" s="2"/>
    </row>
    <row r="36" spans="2:30" ht="13.35" customHeight="1" x14ac:dyDescent="0.2">
      <c r="B36" s="294"/>
      <c r="C36" s="294"/>
      <c r="D36" s="294"/>
      <c r="E36" s="294"/>
      <c r="F36" s="294"/>
      <c r="G36" s="300">
        <f>'F 2 B'!$H$29</f>
        <v>0.57140000000000002</v>
      </c>
      <c r="H36" s="294"/>
      <c r="I36" s="294"/>
      <c r="J36" s="294"/>
      <c r="K36" s="300">
        <f>'F 2 B'!$H$31</f>
        <v>0.42859999999999998</v>
      </c>
      <c r="L36" s="294"/>
      <c r="M36" s="294"/>
      <c r="N36" s="2"/>
      <c r="O36" s="2"/>
      <c r="P36" s="2"/>
      <c r="Q36" s="2"/>
      <c r="R36" s="2"/>
      <c r="S36" s="2"/>
      <c r="T36" s="2"/>
      <c r="U36" s="2"/>
      <c r="V36" s="2"/>
      <c r="W36" s="2"/>
      <c r="X36" s="2"/>
      <c r="Y36" s="2"/>
      <c r="Z36" s="2"/>
      <c r="AA36" s="2"/>
      <c r="AB36" s="2"/>
      <c r="AC36" s="2"/>
      <c r="AD36" s="2"/>
    </row>
    <row r="37" spans="2:30" ht="8.25" customHeight="1" x14ac:dyDescent="0.2">
      <c r="B37" s="294"/>
      <c r="C37" s="294"/>
      <c r="D37" s="294"/>
      <c r="E37" s="294"/>
      <c r="F37" s="294"/>
      <c r="G37" s="294"/>
      <c r="H37" s="294"/>
      <c r="I37" s="294"/>
      <c r="J37" s="294"/>
      <c r="K37" s="294"/>
      <c r="L37" s="294"/>
      <c r="M37" s="294"/>
      <c r="N37" s="2"/>
      <c r="O37" s="2"/>
      <c r="P37" s="2"/>
      <c r="Q37" s="2"/>
      <c r="R37" s="2"/>
      <c r="S37" s="2"/>
      <c r="T37" s="2"/>
      <c r="U37" s="2"/>
      <c r="V37" s="2"/>
      <c r="W37" s="2"/>
      <c r="X37" s="2"/>
      <c r="Y37" s="2"/>
      <c r="Z37" s="2"/>
      <c r="AA37" s="2"/>
      <c r="AB37" s="2"/>
      <c r="AC37" s="2"/>
      <c r="AD37" s="2"/>
    </row>
    <row r="38" spans="2:30" ht="13.35" customHeight="1" x14ac:dyDescent="0.2">
      <c r="B38" s="294" t="s">
        <v>146</v>
      </c>
      <c r="C38" s="294"/>
      <c r="D38" s="294"/>
      <c r="E38" s="300">
        <f t="shared" ref="E38:E44" si="1">K15</f>
        <v>0.48080000000000001</v>
      </c>
      <c r="F38" s="294"/>
      <c r="G38" s="300">
        <f>ROUND(E38*G$36,4)</f>
        <v>0.2747</v>
      </c>
      <c r="H38" s="294"/>
      <c r="I38" s="300">
        <f>'F 2 B'!$J$14</f>
        <v>0.52849999999999997</v>
      </c>
      <c r="J38" s="294"/>
      <c r="K38" s="300">
        <f>ROUND(I38*K$36,4)</f>
        <v>0.22650000000000001</v>
      </c>
      <c r="L38" s="294"/>
      <c r="M38" s="300">
        <f>G38+K38</f>
        <v>0.50119999999999998</v>
      </c>
      <c r="N38" s="2"/>
      <c r="O38" s="2"/>
      <c r="P38" s="2"/>
      <c r="Q38" s="2"/>
      <c r="R38" s="2"/>
      <c r="S38" s="4"/>
      <c r="T38" s="2"/>
      <c r="U38" s="2"/>
      <c r="V38" s="2"/>
      <c r="W38" s="2"/>
      <c r="X38" s="2"/>
      <c r="Y38" s="2"/>
      <c r="Z38" s="2"/>
      <c r="AA38" s="2"/>
      <c r="AB38" s="2"/>
      <c r="AC38" s="2"/>
      <c r="AD38" s="2"/>
    </row>
    <row r="39" spans="2:30" ht="13.35" customHeight="1" x14ac:dyDescent="0.2">
      <c r="B39" s="294" t="s">
        <v>147</v>
      </c>
      <c r="C39" s="294"/>
      <c r="D39" s="294"/>
      <c r="E39" s="300">
        <f t="shared" si="1"/>
        <v>0.32429999999999998</v>
      </c>
      <c r="F39" s="294"/>
      <c r="G39" s="300">
        <f t="shared" ref="G39:G43" si="2">ROUND(E39*G$36,4)</f>
        <v>0.18529999999999999</v>
      </c>
      <c r="H39" s="294"/>
      <c r="I39" s="300">
        <f>'F 2 B'!$J$15</f>
        <v>0.32079999999999997</v>
      </c>
      <c r="J39" s="294"/>
      <c r="K39" s="300">
        <f>ROUND(I39*K$36,4)</f>
        <v>0.13750000000000001</v>
      </c>
      <c r="L39" s="294"/>
      <c r="M39" s="300">
        <f>G39+K39</f>
        <v>0.32279999999999998</v>
      </c>
      <c r="N39" s="2"/>
      <c r="O39" s="2"/>
      <c r="P39" s="2"/>
      <c r="Q39" s="2"/>
      <c r="R39" s="2"/>
      <c r="S39" s="4"/>
      <c r="T39" s="2"/>
      <c r="U39" s="2"/>
      <c r="V39" s="2"/>
      <c r="W39" s="2"/>
      <c r="X39" s="2"/>
      <c r="Y39" s="2"/>
      <c r="Z39" s="2"/>
      <c r="AA39" s="2"/>
      <c r="AB39" s="2"/>
      <c r="AC39" s="2"/>
      <c r="AD39" s="2"/>
    </row>
    <row r="40" spans="2:30" ht="13.35" customHeight="1" x14ac:dyDescent="0.2">
      <c r="B40" s="294" t="s">
        <v>148</v>
      </c>
      <c r="C40" s="294"/>
      <c r="D40" s="294"/>
      <c r="E40" s="300">
        <f t="shared" si="1"/>
        <v>5.2699999999999997E-2</v>
      </c>
      <c r="F40" s="294"/>
      <c r="G40" s="300">
        <f t="shared" si="2"/>
        <v>3.0099999999999998E-2</v>
      </c>
      <c r="H40" s="294"/>
      <c r="I40" s="300">
        <f>'F 2 B'!$J$16</f>
        <v>4.0599999999999997E-2</v>
      </c>
      <c r="J40" s="294"/>
      <c r="K40" s="300">
        <f>ROUND(I40*K$36,4)</f>
        <v>1.7399999999999999E-2</v>
      </c>
      <c r="L40" s="294"/>
      <c r="M40" s="300">
        <f t="shared" ref="M40:M44" si="3">G40+K40</f>
        <v>4.7500000000000001E-2</v>
      </c>
      <c r="N40" s="2"/>
      <c r="O40" s="2"/>
      <c r="P40" s="2"/>
      <c r="Q40" s="2"/>
      <c r="R40" s="2"/>
      <c r="S40" s="4"/>
      <c r="T40" s="2"/>
      <c r="U40" s="2"/>
      <c r="V40" s="2"/>
      <c r="W40" s="2"/>
      <c r="X40" s="2"/>
      <c r="Y40" s="2"/>
      <c r="Z40" s="2"/>
      <c r="AA40" s="2"/>
      <c r="AB40" s="2"/>
      <c r="AC40" s="2"/>
      <c r="AD40" s="2"/>
    </row>
    <row r="41" spans="2:30" ht="13.35" customHeight="1" x14ac:dyDescent="0.2">
      <c r="B41" s="294" t="s">
        <v>150</v>
      </c>
      <c r="C41" s="294"/>
      <c r="D41" s="294"/>
      <c r="E41" s="300">
        <f t="shared" si="1"/>
        <v>9.9500000000000005E-2</v>
      </c>
      <c r="F41" s="294"/>
      <c r="G41" s="300">
        <f t="shared" si="2"/>
        <v>5.6899999999999999E-2</v>
      </c>
      <c r="H41" s="294"/>
      <c r="I41" s="300">
        <f>'F 2 B'!$J$17</f>
        <v>8.2100000000000006E-2</v>
      </c>
      <c r="J41" s="294"/>
      <c r="K41" s="300">
        <f>ROUND(I41*K$36,4)</f>
        <v>3.5200000000000002E-2</v>
      </c>
      <c r="L41" s="294"/>
      <c r="M41" s="300">
        <f t="shared" si="3"/>
        <v>9.2100000000000001E-2</v>
      </c>
      <c r="N41" s="2"/>
      <c r="O41" s="2"/>
      <c r="P41" s="2"/>
      <c r="Q41" s="2"/>
      <c r="R41" s="2"/>
      <c r="S41" s="4"/>
      <c r="T41" s="2"/>
      <c r="U41" s="2"/>
      <c r="V41" s="2"/>
      <c r="W41" s="2"/>
      <c r="X41" s="2"/>
      <c r="Y41" s="2"/>
      <c r="Z41" s="2"/>
      <c r="AA41" s="2"/>
      <c r="AB41" s="2"/>
      <c r="AC41" s="2"/>
      <c r="AD41" s="2"/>
    </row>
    <row r="42" spans="2:30" ht="13.35" customHeight="1" x14ac:dyDescent="0.2">
      <c r="B42" s="294" t="s">
        <v>267</v>
      </c>
      <c r="C42" s="294"/>
      <c r="D42" s="294"/>
      <c r="E42" s="300">
        <f t="shared" si="1"/>
        <v>3.6400000000000002E-2</v>
      </c>
      <c r="F42" s="294"/>
      <c r="G42" s="300">
        <f t="shared" si="2"/>
        <v>2.0799999999999999E-2</v>
      </c>
      <c r="H42" s="294"/>
      <c r="I42" s="300">
        <f>'F 2 B'!$J$18</f>
        <v>2.8000000000000001E-2</v>
      </c>
      <c r="J42" s="294"/>
      <c r="K42" s="300">
        <f>ROUND(I42*K$36,4)</f>
        <v>1.2E-2</v>
      </c>
      <c r="L42" s="294"/>
      <c r="M42" s="300">
        <f t="shared" si="3"/>
        <v>3.2799999999999996E-2</v>
      </c>
      <c r="N42" s="2"/>
      <c r="O42" s="2"/>
      <c r="P42" s="2"/>
      <c r="Q42" s="2"/>
      <c r="R42" s="2"/>
      <c r="S42" s="4"/>
      <c r="T42" s="2"/>
      <c r="U42" s="2"/>
      <c r="V42" s="2"/>
      <c r="W42" s="2"/>
      <c r="X42" s="2"/>
      <c r="Y42" s="2"/>
      <c r="Z42" s="2"/>
      <c r="AA42" s="2"/>
      <c r="AB42" s="2"/>
      <c r="AC42" s="2"/>
      <c r="AD42" s="2"/>
    </row>
    <row r="43" spans="2:30" ht="13.35" customHeight="1" x14ac:dyDescent="0.2">
      <c r="B43" s="294" t="s">
        <v>152</v>
      </c>
      <c r="C43" s="294"/>
      <c r="D43" s="294"/>
      <c r="E43" s="300">
        <f t="shared" si="1"/>
        <v>3.0999999999999999E-3</v>
      </c>
      <c r="F43" s="294"/>
      <c r="G43" s="300">
        <f t="shared" si="2"/>
        <v>1.8E-3</v>
      </c>
      <c r="H43" s="294"/>
      <c r="I43" s="294"/>
      <c r="J43" s="294"/>
      <c r="K43" s="294"/>
      <c r="L43" s="294"/>
      <c r="M43" s="300">
        <f t="shared" si="3"/>
        <v>1.8E-3</v>
      </c>
      <c r="N43" s="2"/>
      <c r="O43" s="2"/>
      <c r="P43" s="2"/>
      <c r="Q43" s="2"/>
      <c r="R43" s="2"/>
      <c r="S43" s="4"/>
      <c r="T43" s="2"/>
      <c r="U43" s="2"/>
      <c r="V43" s="2"/>
      <c r="W43" s="2"/>
      <c r="X43" s="2"/>
      <c r="Y43" s="2"/>
      <c r="Z43" s="2"/>
      <c r="AA43" s="2"/>
      <c r="AB43" s="2"/>
      <c r="AC43" s="2"/>
      <c r="AD43" s="2"/>
    </row>
    <row r="44" spans="2:30" ht="13.35" customHeight="1" x14ac:dyDescent="0.2">
      <c r="B44" s="294" t="s">
        <v>153</v>
      </c>
      <c r="C44" s="294"/>
      <c r="D44" s="294"/>
      <c r="E44" s="300">
        <f t="shared" si="1"/>
        <v>3.2000000000000002E-3</v>
      </c>
      <c r="F44" s="294"/>
      <c r="G44" s="390">
        <f>ROUND(E44*G$36,4)</f>
        <v>1.8E-3</v>
      </c>
      <c r="H44" s="294"/>
      <c r="I44" s="294"/>
      <c r="J44" s="294"/>
      <c r="K44" s="294"/>
      <c r="L44" s="294"/>
      <c r="M44" s="300">
        <f t="shared" si="3"/>
        <v>1.8E-3</v>
      </c>
      <c r="N44" s="2"/>
      <c r="O44" s="2"/>
      <c r="P44" s="2"/>
      <c r="Q44" s="2"/>
      <c r="R44" s="2"/>
      <c r="S44" s="4"/>
      <c r="T44" s="2"/>
      <c r="U44" s="2"/>
      <c r="V44" s="2"/>
      <c r="W44" s="2"/>
      <c r="X44" s="2"/>
      <c r="Y44" s="2"/>
      <c r="Z44" s="2"/>
      <c r="AA44" s="2"/>
      <c r="AB44" s="2"/>
      <c r="AC44" s="2"/>
      <c r="AD44" s="2"/>
    </row>
    <row r="45" spans="2:30" ht="8.25" customHeight="1" x14ac:dyDescent="0.2">
      <c r="B45" s="294"/>
      <c r="C45" s="294"/>
      <c r="D45" s="294"/>
      <c r="E45" s="303"/>
      <c r="F45" s="294"/>
      <c r="G45" s="303"/>
      <c r="H45" s="294"/>
      <c r="I45" s="303"/>
      <c r="J45" s="294"/>
      <c r="K45" s="303"/>
      <c r="L45" s="294"/>
      <c r="M45" s="303"/>
      <c r="N45" s="2"/>
      <c r="O45" s="2"/>
      <c r="P45" s="2"/>
      <c r="Q45" s="2"/>
      <c r="R45" s="2"/>
      <c r="S45" s="11"/>
      <c r="T45" s="2"/>
      <c r="U45" s="2"/>
      <c r="V45" s="2"/>
      <c r="W45" s="2"/>
      <c r="X45" s="2"/>
      <c r="Y45" s="2"/>
      <c r="Z45" s="2"/>
      <c r="AA45" s="2"/>
      <c r="AB45" s="2"/>
      <c r="AC45" s="2"/>
      <c r="AD45" s="2"/>
    </row>
    <row r="46" spans="2:30" ht="13.35" customHeight="1" thickBot="1" x14ac:dyDescent="0.25">
      <c r="B46" s="294" t="s">
        <v>154</v>
      </c>
      <c r="C46" s="294"/>
      <c r="D46" s="294"/>
      <c r="E46" s="300">
        <f>SUM(E38:E45)</f>
        <v>0.99999999999999989</v>
      </c>
      <c r="F46" s="294"/>
      <c r="G46" s="325">
        <f>SUM(G38:G45)</f>
        <v>0.57140000000000002</v>
      </c>
      <c r="H46" s="294"/>
      <c r="I46" s="300">
        <f>SUM(I38:I45)</f>
        <v>1</v>
      </c>
      <c r="J46" s="294"/>
      <c r="K46" s="300">
        <f>SUM(K38:K45)</f>
        <v>0.42859999999999998</v>
      </c>
      <c r="L46" s="294"/>
      <c r="M46" s="300">
        <f>SUM(M38:M45)</f>
        <v>1</v>
      </c>
      <c r="N46" s="2"/>
      <c r="O46" s="2"/>
      <c r="P46" s="2"/>
      <c r="Q46" s="2"/>
      <c r="R46" s="2"/>
      <c r="S46" s="4"/>
      <c r="T46" s="2"/>
      <c r="U46" s="2"/>
      <c r="V46" s="2"/>
      <c r="W46" s="2"/>
      <c r="X46" s="2"/>
      <c r="Y46" s="2"/>
      <c r="Z46" s="2"/>
      <c r="AA46" s="2"/>
      <c r="AB46" s="2"/>
      <c r="AC46" s="2"/>
      <c r="AD46" s="2"/>
    </row>
    <row r="47" spans="2:30" ht="13.35" customHeight="1" thickTop="1" x14ac:dyDescent="0.2">
      <c r="B47" s="298"/>
      <c r="C47" s="298"/>
      <c r="D47" s="298"/>
      <c r="E47" s="411"/>
      <c r="F47" s="298"/>
      <c r="G47" s="329"/>
      <c r="H47" s="298"/>
      <c r="I47" s="411"/>
      <c r="J47" s="298"/>
      <c r="K47" s="411"/>
      <c r="L47" s="298"/>
      <c r="M47" s="411"/>
      <c r="N47" s="2"/>
      <c r="O47" s="2"/>
      <c r="P47" s="2"/>
      <c r="Q47" s="2"/>
      <c r="R47" s="2"/>
      <c r="S47" s="2"/>
      <c r="T47" s="2"/>
      <c r="U47" s="2"/>
      <c r="V47" s="2"/>
      <c r="W47" s="2"/>
      <c r="X47" s="2"/>
      <c r="Y47" s="2"/>
      <c r="Z47" s="2"/>
      <c r="AA47" s="2"/>
      <c r="AB47" s="2"/>
      <c r="AC47" s="2"/>
      <c r="AD47" s="2"/>
    </row>
    <row r="48" spans="2:30" ht="25.9" customHeight="1" x14ac:dyDescent="0.2">
      <c r="B48" s="709" t="s">
        <v>168</v>
      </c>
      <c r="C48" s="709"/>
      <c r="D48" s="709"/>
      <c r="E48" s="709"/>
      <c r="F48" s="709"/>
      <c r="G48" s="709"/>
      <c r="H48" s="709"/>
      <c r="I48" s="709"/>
      <c r="J48" s="709"/>
      <c r="K48" s="709"/>
      <c r="L48" s="709"/>
      <c r="M48" s="709"/>
      <c r="N48" s="2"/>
      <c r="O48" s="2"/>
      <c r="P48" s="2"/>
      <c r="Q48" s="2"/>
      <c r="R48" s="2"/>
      <c r="S48" s="2"/>
      <c r="T48" s="2"/>
      <c r="U48" s="2"/>
      <c r="V48" s="2"/>
      <c r="W48" s="2"/>
      <c r="X48" s="2"/>
      <c r="Y48" s="2"/>
      <c r="Z48" s="2"/>
      <c r="AA48" s="2"/>
      <c r="AB48" s="2"/>
      <c r="AC48" s="2"/>
      <c r="AD48" s="2"/>
    </row>
    <row r="49" spans="2:30" ht="13.35" customHeight="1" x14ac:dyDescent="0.2">
      <c r="B49" s="298"/>
      <c r="C49" s="298"/>
      <c r="D49" s="298"/>
      <c r="E49" s="298"/>
      <c r="F49" s="298"/>
      <c r="G49" s="298"/>
      <c r="H49" s="298"/>
      <c r="I49" s="298"/>
      <c r="J49" s="298"/>
      <c r="K49" s="298"/>
      <c r="L49" s="298"/>
      <c r="M49" s="298"/>
      <c r="N49" s="2"/>
      <c r="O49" s="2"/>
      <c r="P49" s="2"/>
      <c r="Q49" s="2"/>
      <c r="R49" s="2"/>
      <c r="S49" s="2"/>
      <c r="T49" s="2"/>
      <c r="U49" s="2"/>
      <c r="V49" s="2"/>
      <c r="W49" s="2"/>
      <c r="X49" s="2"/>
      <c r="Y49" s="2"/>
      <c r="Z49" s="2"/>
      <c r="AA49" s="2"/>
      <c r="AB49" s="2"/>
      <c r="AC49" s="2"/>
      <c r="AD49" s="2"/>
    </row>
    <row r="50" spans="2:30" ht="13.35"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2:30"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2:30"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2:30"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2:30"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2:30"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2:30"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2:30"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2:30"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2:30"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2:30"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2:30" x14ac:dyDescent="0.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2:30" x14ac:dyDescent="0.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2:30" x14ac:dyDescent="0.2">
      <c r="B63" s="2"/>
      <c r="C63" s="2"/>
      <c r="D63" s="2"/>
      <c r="E63" s="2"/>
      <c r="F63" s="2"/>
      <c r="G63" s="2"/>
      <c r="H63" s="2"/>
      <c r="I63" s="2"/>
      <c r="J63" s="2"/>
      <c r="K63" s="2"/>
      <c r="L63" s="2"/>
      <c r="M63" s="2"/>
      <c r="N63" s="2"/>
      <c r="O63" s="2"/>
      <c r="P63" s="2"/>
      <c r="Q63" s="2"/>
      <c r="R63" s="2"/>
      <c r="S63" s="2"/>
      <c r="AD63" s="2"/>
    </row>
    <row r="64" spans="2:30" x14ac:dyDescent="0.2">
      <c r="B64" s="2"/>
      <c r="C64" s="2"/>
      <c r="D64" s="2"/>
      <c r="E64" s="2"/>
      <c r="F64" s="2"/>
      <c r="G64" s="2"/>
      <c r="H64" s="2"/>
      <c r="I64" s="2"/>
      <c r="J64" s="2"/>
      <c r="K64" s="2"/>
      <c r="L64" s="2"/>
      <c r="M64" s="2"/>
      <c r="N64" s="2"/>
      <c r="O64" s="2"/>
      <c r="P64" s="2"/>
      <c r="Q64" s="2"/>
      <c r="R64" s="2"/>
      <c r="S64" s="2"/>
      <c r="AD64" s="2"/>
    </row>
    <row r="65" spans="2:30" x14ac:dyDescent="0.2">
      <c r="B65" s="2"/>
      <c r="C65" s="2"/>
      <c r="D65" s="2"/>
      <c r="E65" s="2"/>
      <c r="F65" s="2"/>
      <c r="G65" s="2"/>
      <c r="H65" s="2"/>
      <c r="I65" s="2"/>
      <c r="J65" s="2"/>
      <c r="K65" s="2"/>
      <c r="L65" s="2"/>
      <c r="M65" s="2"/>
      <c r="N65" s="2"/>
      <c r="O65" s="2"/>
      <c r="P65" s="2"/>
      <c r="Q65" s="2"/>
      <c r="R65" s="2"/>
      <c r="S65" s="2"/>
      <c r="AD65" s="2"/>
    </row>
    <row r="66" spans="2:30" x14ac:dyDescent="0.2">
      <c r="B66" s="2"/>
      <c r="C66" s="2"/>
      <c r="D66" s="2"/>
      <c r="E66" s="2"/>
      <c r="F66" s="2"/>
      <c r="G66" s="2"/>
      <c r="H66" s="2"/>
      <c r="I66" s="2"/>
      <c r="J66" s="2"/>
      <c r="K66" s="2"/>
      <c r="L66" s="2"/>
      <c r="M66" s="2"/>
      <c r="N66" s="2"/>
      <c r="O66" s="2"/>
      <c r="P66" s="2"/>
      <c r="Q66" s="2"/>
      <c r="R66" s="2"/>
      <c r="S66" s="2"/>
      <c r="AD66" s="2"/>
    </row>
    <row r="67" spans="2:30" x14ac:dyDescent="0.2">
      <c r="B67" s="2"/>
      <c r="C67" s="2"/>
      <c r="D67" s="2"/>
      <c r="E67" s="2"/>
      <c r="F67" s="2"/>
      <c r="G67" s="2"/>
      <c r="H67" s="2"/>
      <c r="I67" s="2"/>
      <c r="J67" s="2"/>
      <c r="K67" s="2"/>
      <c r="L67" s="2"/>
      <c r="M67" s="2"/>
      <c r="N67" s="2"/>
      <c r="O67" s="2"/>
      <c r="P67" s="2"/>
      <c r="Q67" s="2"/>
      <c r="R67" s="2"/>
      <c r="S67" s="2"/>
      <c r="AD67" s="2"/>
    </row>
    <row r="68" spans="2:30" x14ac:dyDescent="0.2">
      <c r="B68" s="2"/>
      <c r="C68" s="2"/>
      <c r="D68" s="2"/>
      <c r="E68" s="2"/>
      <c r="F68" s="2"/>
      <c r="G68" s="2"/>
      <c r="H68" s="2"/>
      <c r="I68" s="2"/>
      <c r="J68" s="2"/>
      <c r="K68" s="2"/>
      <c r="L68" s="2"/>
      <c r="M68" s="2"/>
      <c r="N68" s="2"/>
      <c r="O68" s="2"/>
      <c r="P68" s="2"/>
      <c r="Q68" s="2"/>
      <c r="R68" s="2"/>
      <c r="S68" s="2"/>
      <c r="AD68" s="2"/>
    </row>
    <row r="69" spans="2:30" x14ac:dyDescent="0.2">
      <c r="B69" s="2"/>
      <c r="C69" s="2"/>
      <c r="D69" s="2"/>
      <c r="E69" s="2"/>
      <c r="F69" s="2"/>
      <c r="G69" s="2"/>
      <c r="H69" s="2"/>
      <c r="I69" s="2"/>
      <c r="J69" s="2"/>
      <c r="K69" s="2"/>
      <c r="L69" s="2"/>
      <c r="M69" s="2"/>
      <c r="N69" s="2"/>
      <c r="O69" s="2"/>
      <c r="P69" s="2"/>
      <c r="Q69" s="2"/>
      <c r="R69" s="2"/>
      <c r="S69" s="2"/>
      <c r="AD69" s="2"/>
    </row>
    <row r="70" spans="2:30" x14ac:dyDescent="0.2">
      <c r="B70" s="2"/>
      <c r="C70" s="2"/>
      <c r="D70" s="2"/>
      <c r="E70" s="2"/>
      <c r="F70" s="2"/>
      <c r="G70" s="2"/>
      <c r="H70" s="2"/>
      <c r="I70" s="2"/>
      <c r="J70" s="2"/>
      <c r="K70" s="2"/>
      <c r="L70" s="2"/>
      <c r="M70" s="2"/>
      <c r="N70" s="2"/>
      <c r="O70" s="2"/>
      <c r="P70" s="2"/>
      <c r="Q70" s="2"/>
      <c r="R70" s="2"/>
      <c r="S70" s="2"/>
      <c r="AD70" s="2"/>
    </row>
    <row r="71" spans="2:30" x14ac:dyDescent="0.2">
      <c r="B71" s="2"/>
      <c r="C71" s="2"/>
      <c r="D71" s="2"/>
      <c r="E71" s="2"/>
      <c r="F71" s="2"/>
      <c r="G71" s="2"/>
      <c r="H71" s="2"/>
      <c r="I71" s="2"/>
      <c r="J71" s="2"/>
      <c r="K71" s="2"/>
      <c r="L71" s="2"/>
      <c r="M71" s="2"/>
      <c r="N71" s="2"/>
      <c r="O71" s="2"/>
      <c r="P71" s="2"/>
      <c r="Q71" s="2"/>
      <c r="R71" s="2"/>
      <c r="S71" s="2"/>
      <c r="AD71" s="2"/>
    </row>
    <row r="72" spans="2:30" x14ac:dyDescent="0.2">
      <c r="B72" s="2"/>
      <c r="C72" s="2"/>
      <c r="D72" s="2"/>
      <c r="E72" s="2"/>
      <c r="F72" s="2"/>
      <c r="G72" s="2"/>
      <c r="H72" s="2"/>
      <c r="I72" s="2"/>
      <c r="J72" s="2"/>
      <c r="K72" s="2"/>
      <c r="L72" s="2"/>
      <c r="M72" s="2"/>
      <c r="N72" s="2"/>
      <c r="O72" s="2"/>
      <c r="P72" s="2"/>
      <c r="Q72" s="2"/>
      <c r="R72" s="2"/>
      <c r="S72" s="2"/>
      <c r="AD72" s="2"/>
    </row>
    <row r="73" spans="2:30" x14ac:dyDescent="0.2">
      <c r="B73" s="2"/>
      <c r="C73" s="2"/>
      <c r="D73" s="2"/>
      <c r="E73" s="2"/>
      <c r="F73" s="2"/>
      <c r="G73" s="2"/>
      <c r="H73" s="2"/>
      <c r="I73" s="2"/>
      <c r="J73" s="2"/>
      <c r="K73" s="2"/>
      <c r="L73" s="2"/>
      <c r="M73" s="2"/>
      <c r="N73" s="2"/>
      <c r="O73" s="2"/>
      <c r="P73" s="2"/>
      <c r="Q73" s="2"/>
      <c r="R73" s="2"/>
      <c r="S73" s="2"/>
      <c r="AD73" s="2"/>
    </row>
    <row r="74" spans="2:30" x14ac:dyDescent="0.2">
      <c r="B74" s="2"/>
      <c r="C74" s="2"/>
      <c r="D74" s="2"/>
      <c r="E74" s="2"/>
      <c r="F74" s="2"/>
      <c r="G74" s="2"/>
      <c r="H74" s="2"/>
      <c r="I74" s="2"/>
      <c r="J74" s="2"/>
      <c r="K74" s="2"/>
      <c r="L74" s="2"/>
      <c r="M74" s="2"/>
      <c r="N74" s="2"/>
      <c r="O74" s="2"/>
      <c r="P74" s="2"/>
      <c r="Q74" s="2"/>
      <c r="R74" s="2"/>
      <c r="S74" s="2"/>
      <c r="AD74" s="2"/>
    </row>
    <row r="75" spans="2:30" x14ac:dyDescent="0.2">
      <c r="B75" s="2"/>
      <c r="C75" s="2"/>
      <c r="D75" s="2"/>
      <c r="E75" s="2"/>
      <c r="F75" s="2"/>
      <c r="G75" s="2"/>
      <c r="H75" s="2"/>
      <c r="I75" s="2"/>
      <c r="J75" s="2"/>
      <c r="K75" s="2"/>
      <c r="L75" s="2"/>
      <c r="M75" s="2"/>
      <c r="N75" s="2"/>
      <c r="O75" s="2"/>
      <c r="P75" s="2"/>
      <c r="Q75" s="2"/>
      <c r="R75" s="2"/>
      <c r="S75" s="2"/>
      <c r="AD75" s="2"/>
    </row>
    <row r="76" spans="2:30" x14ac:dyDescent="0.2">
      <c r="B76" s="2"/>
      <c r="C76" s="2"/>
      <c r="D76" s="2"/>
      <c r="E76" s="2"/>
      <c r="F76" s="2"/>
      <c r="G76" s="2"/>
      <c r="H76" s="2"/>
      <c r="I76" s="2"/>
      <c r="J76" s="2"/>
      <c r="K76" s="2"/>
      <c r="L76" s="2"/>
      <c r="M76" s="2"/>
      <c r="N76" s="2"/>
      <c r="O76" s="2"/>
      <c r="P76" s="2"/>
      <c r="Q76" s="2"/>
      <c r="R76" s="2"/>
      <c r="S76" s="2"/>
      <c r="AD76" s="2"/>
    </row>
    <row r="77" spans="2:30" ht="12.75" customHeight="1" x14ac:dyDescent="0.2">
      <c r="B77" s="2"/>
      <c r="C77" s="2"/>
      <c r="D77" s="2"/>
      <c r="E77" s="2"/>
      <c r="F77" s="2"/>
      <c r="G77" s="2"/>
      <c r="H77" s="2"/>
      <c r="I77" s="2"/>
      <c r="J77" s="2"/>
      <c r="K77" s="2"/>
      <c r="L77" s="2"/>
      <c r="M77" s="2"/>
      <c r="N77" s="2"/>
      <c r="O77" s="2"/>
      <c r="P77" s="2"/>
      <c r="Q77" s="2"/>
      <c r="R77" s="2"/>
      <c r="S77" s="2"/>
      <c r="AD77" s="2"/>
    </row>
    <row r="78" spans="2:30" x14ac:dyDescent="0.2">
      <c r="B78" s="2"/>
      <c r="C78" s="2"/>
      <c r="D78" s="2"/>
      <c r="E78" s="2"/>
      <c r="F78" s="2"/>
      <c r="G78" s="2"/>
      <c r="H78" s="2"/>
      <c r="I78" s="2"/>
      <c r="J78" s="2"/>
      <c r="K78" s="2"/>
      <c r="L78" s="2"/>
      <c r="M78" s="2"/>
      <c r="N78" s="2"/>
      <c r="O78" s="2"/>
      <c r="P78" s="2"/>
      <c r="Q78" s="2"/>
      <c r="R78" s="2"/>
      <c r="S78" s="2"/>
      <c r="AD78" s="2"/>
    </row>
    <row r="79" spans="2:30" x14ac:dyDescent="0.2">
      <c r="B79" s="2"/>
      <c r="C79" s="2"/>
      <c r="D79" s="2"/>
      <c r="E79" s="2"/>
      <c r="F79" s="2"/>
      <c r="G79" s="2"/>
      <c r="H79" s="2"/>
      <c r="I79" s="2"/>
      <c r="J79" s="2"/>
      <c r="K79" s="2"/>
      <c r="L79" s="2"/>
      <c r="M79" s="2"/>
      <c r="N79" s="2"/>
      <c r="O79" s="2"/>
      <c r="P79" s="2"/>
      <c r="Q79" s="2"/>
      <c r="R79" s="2"/>
      <c r="S79" s="2"/>
      <c r="AD79" s="2"/>
    </row>
    <row r="80" spans="2:30" x14ac:dyDescent="0.2">
      <c r="B80" s="2"/>
      <c r="C80" s="2"/>
      <c r="D80" s="2"/>
      <c r="E80" s="2"/>
      <c r="F80" s="2"/>
      <c r="G80" s="2"/>
      <c r="H80" s="2"/>
      <c r="I80" s="2"/>
      <c r="J80" s="2"/>
      <c r="K80" s="2"/>
      <c r="L80" s="2"/>
      <c r="M80" s="2"/>
      <c r="N80" s="2"/>
      <c r="O80" s="2"/>
      <c r="P80" s="2"/>
      <c r="Q80" s="2"/>
      <c r="R80" s="2"/>
      <c r="S80" s="2"/>
      <c r="AD80" s="2"/>
    </row>
    <row r="81" spans="2:30" x14ac:dyDescent="0.2">
      <c r="B81" s="2"/>
      <c r="C81" s="2"/>
      <c r="D81" s="2"/>
      <c r="E81" s="2"/>
      <c r="F81" s="2"/>
      <c r="G81" s="2"/>
      <c r="H81" s="2"/>
      <c r="I81" s="2"/>
      <c r="J81" s="2"/>
      <c r="K81" s="2"/>
      <c r="L81" s="2"/>
      <c r="M81" s="2"/>
      <c r="N81" s="2"/>
      <c r="O81" s="2"/>
      <c r="P81" s="2"/>
      <c r="Q81" s="2"/>
      <c r="R81" s="2"/>
      <c r="S81" s="2"/>
      <c r="AD81" s="2"/>
    </row>
    <row r="82" spans="2:30" x14ac:dyDescent="0.2">
      <c r="B82" s="2"/>
      <c r="C82" s="2"/>
      <c r="D82" s="2"/>
      <c r="E82" s="2"/>
      <c r="F82" s="2"/>
      <c r="G82" s="2"/>
      <c r="H82" s="2"/>
      <c r="I82" s="2"/>
      <c r="J82" s="2"/>
      <c r="K82" s="2"/>
      <c r="L82" s="2"/>
      <c r="M82" s="2"/>
      <c r="N82" s="2"/>
      <c r="O82" s="2"/>
      <c r="P82" s="2"/>
      <c r="Q82" s="2"/>
      <c r="R82" s="2"/>
      <c r="S82" s="2"/>
      <c r="AD82" s="2"/>
    </row>
    <row r="83" spans="2:30" x14ac:dyDescent="0.2">
      <c r="B83" s="2"/>
      <c r="C83" s="2"/>
      <c r="D83" s="2"/>
      <c r="E83" s="2"/>
      <c r="F83" s="2"/>
      <c r="G83" s="2"/>
      <c r="H83" s="2"/>
      <c r="I83" s="2"/>
      <c r="J83" s="2"/>
      <c r="K83" s="2"/>
      <c r="L83" s="2"/>
      <c r="M83" s="2"/>
      <c r="N83" s="2"/>
      <c r="O83" s="2"/>
      <c r="P83" s="2"/>
      <c r="Q83" s="2"/>
      <c r="R83" s="2"/>
      <c r="S83" s="2"/>
      <c r="AD83" s="2"/>
    </row>
    <row r="84" spans="2:30" x14ac:dyDescent="0.2">
      <c r="B84" s="2"/>
      <c r="C84" s="2"/>
      <c r="D84" s="2"/>
      <c r="E84" s="2"/>
      <c r="F84" s="2"/>
      <c r="G84" s="2"/>
      <c r="H84" s="2"/>
      <c r="I84" s="2"/>
      <c r="J84" s="2"/>
      <c r="K84" s="2"/>
      <c r="L84" s="2"/>
      <c r="M84" s="2"/>
      <c r="N84" s="2"/>
      <c r="O84" s="2"/>
      <c r="P84" s="2"/>
      <c r="Q84" s="2"/>
      <c r="R84" s="2"/>
      <c r="S84" s="2"/>
      <c r="AC84" s="137"/>
      <c r="AD84" s="2"/>
    </row>
    <row r="85" spans="2:30" x14ac:dyDescent="0.2">
      <c r="B85" s="2"/>
      <c r="C85" s="2"/>
      <c r="D85" s="2"/>
      <c r="E85" s="2"/>
      <c r="F85" s="2"/>
      <c r="G85" s="2"/>
      <c r="H85" s="2"/>
      <c r="I85" s="2"/>
      <c r="J85" s="2"/>
      <c r="K85" s="2"/>
      <c r="L85" s="2"/>
      <c r="M85" s="2"/>
      <c r="N85" s="2"/>
      <c r="O85" s="2"/>
      <c r="P85" s="2"/>
      <c r="Q85" s="2"/>
      <c r="R85" s="2"/>
      <c r="S85" s="2"/>
      <c r="AC85" s="137"/>
      <c r="AD85" s="2"/>
    </row>
    <row r="86" spans="2:30" x14ac:dyDescent="0.2">
      <c r="B86" s="2"/>
      <c r="C86" s="2"/>
      <c r="D86" s="2"/>
      <c r="E86" s="2"/>
      <c r="F86" s="2"/>
      <c r="G86" s="2"/>
      <c r="H86" s="2"/>
      <c r="I86" s="2"/>
      <c r="J86" s="2"/>
      <c r="K86" s="2"/>
      <c r="L86" s="2"/>
      <c r="M86" s="2"/>
      <c r="N86" s="2"/>
      <c r="O86" s="2"/>
      <c r="P86" s="2"/>
      <c r="Q86" s="2"/>
      <c r="R86" s="2"/>
      <c r="S86" s="2"/>
      <c r="AD86" s="2"/>
    </row>
    <row r="87" spans="2:30" x14ac:dyDescent="0.2">
      <c r="B87" s="2"/>
      <c r="C87" s="2"/>
      <c r="D87" s="2"/>
      <c r="E87" s="2"/>
      <c r="F87" s="2"/>
      <c r="G87" s="2"/>
      <c r="H87" s="2"/>
      <c r="I87" s="2"/>
      <c r="J87" s="2"/>
      <c r="K87" s="2"/>
      <c r="L87" s="2"/>
      <c r="M87" s="2"/>
      <c r="N87" s="2"/>
      <c r="O87" s="2"/>
      <c r="P87" s="2"/>
      <c r="Q87" s="2"/>
      <c r="R87" s="2"/>
      <c r="S87" s="2"/>
      <c r="AD87" s="2"/>
    </row>
    <row r="88" spans="2:30" x14ac:dyDescent="0.2">
      <c r="B88" s="2"/>
      <c r="C88" s="2"/>
      <c r="D88" s="2"/>
      <c r="E88" s="2"/>
      <c r="F88" s="2"/>
      <c r="G88" s="2"/>
      <c r="H88" s="2"/>
      <c r="I88" s="2"/>
      <c r="J88" s="2"/>
      <c r="K88" s="2"/>
      <c r="L88" s="2"/>
      <c r="M88" s="2"/>
      <c r="N88" s="2"/>
      <c r="O88" s="2"/>
      <c r="P88" s="2"/>
      <c r="Q88" s="2"/>
      <c r="R88" s="2"/>
      <c r="S88" s="2"/>
      <c r="AD88" s="2"/>
    </row>
    <row r="89" spans="2:30" x14ac:dyDescent="0.2">
      <c r="B89" s="2"/>
      <c r="C89" s="2"/>
      <c r="D89" s="2"/>
      <c r="E89" s="2"/>
      <c r="F89" s="2"/>
      <c r="G89" s="2"/>
      <c r="H89" s="2"/>
      <c r="I89" s="2"/>
      <c r="J89" s="2"/>
      <c r="K89" s="2"/>
      <c r="L89" s="2"/>
      <c r="M89" s="2"/>
      <c r="N89" s="2"/>
      <c r="O89" s="2"/>
      <c r="P89" s="2"/>
      <c r="Q89" s="2"/>
      <c r="R89" s="2"/>
      <c r="S89" s="2"/>
      <c r="AD89" s="2"/>
    </row>
    <row r="90" spans="2:30" x14ac:dyDescent="0.2">
      <c r="B90" s="2"/>
      <c r="C90" s="2"/>
      <c r="D90" s="2"/>
      <c r="E90" s="2"/>
      <c r="F90" s="2"/>
      <c r="G90" s="2"/>
      <c r="H90" s="2"/>
      <c r="I90" s="2"/>
      <c r="J90" s="2"/>
      <c r="K90" s="2"/>
      <c r="L90" s="2"/>
      <c r="M90" s="2"/>
      <c r="N90" s="2"/>
      <c r="O90" s="2"/>
      <c r="P90" s="2"/>
      <c r="Q90" s="2"/>
      <c r="R90" s="2"/>
      <c r="S90" s="2"/>
      <c r="AD90" s="2"/>
    </row>
    <row r="91" spans="2:30" x14ac:dyDescent="0.2">
      <c r="B91" s="2"/>
      <c r="C91" s="2"/>
      <c r="D91" s="2"/>
      <c r="E91" s="2"/>
      <c r="F91" s="2"/>
      <c r="G91" s="2"/>
      <c r="H91" s="2"/>
      <c r="I91" s="2"/>
      <c r="J91" s="2"/>
      <c r="K91" s="2"/>
      <c r="L91" s="2"/>
      <c r="M91" s="2"/>
      <c r="N91" s="2"/>
      <c r="O91" s="2"/>
      <c r="P91" s="2"/>
      <c r="Q91" s="2"/>
      <c r="R91" s="2"/>
      <c r="S91" s="2"/>
      <c r="AD91" s="2"/>
    </row>
    <row r="92" spans="2:30" x14ac:dyDescent="0.2">
      <c r="B92" s="2"/>
      <c r="C92" s="2"/>
      <c r="D92" s="2"/>
      <c r="E92" s="2"/>
      <c r="F92" s="2"/>
      <c r="G92" s="2"/>
      <c r="H92" s="2"/>
      <c r="I92" s="2"/>
      <c r="J92" s="2"/>
      <c r="K92" s="2"/>
      <c r="L92" s="2"/>
      <c r="M92" s="2"/>
      <c r="N92" s="2"/>
      <c r="O92" s="2"/>
      <c r="P92" s="2"/>
      <c r="Q92" s="2"/>
      <c r="R92" s="2"/>
      <c r="S92" s="2"/>
      <c r="AD92" s="2"/>
    </row>
    <row r="93" spans="2:30" x14ac:dyDescent="0.2">
      <c r="B93" s="2"/>
      <c r="C93" s="2"/>
      <c r="D93" s="2"/>
      <c r="E93" s="2"/>
      <c r="F93" s="2"/>
      <c r="G93" s="2"/>
      <c r="H93" s="2"/>
      <c r="I93" s="2"/>
      <c r="J93" s="2"/>
      <c r="K93" s="2"/>
      <c r="L93" s="2"/>
      <c r="M93" s="2"/>
      <c r="N93" s="2"/>
      <c r="O93" s="2"/>
      <c r="P93" s="2"/>
      <c r="Q93" s="2"/>
      <c r="R93" s="2"/>
      <c r="S93" s="2"/>
      <c r="AD93" s="2"/>
    </row>
    <row r="94" spans="2:30" x14ac:dyDescent="0.2">
      <c r="B94" s="2"/>
      <c r="C94" s="2"/>
      <c r="D94" s="2"/>
      <c r="E94" s="2"/>
      <c r="F94" s="2"/>
      <c r="G94" s="2"/>
      <c r="H94" s="2"/>
      <c r="I94" s="2"/>
      <c r="J94" s="2"/>
      <c r="K94" s="2"/>
      <c r="L94" s="2"/>
      <c r="M94" s="2"/>
      <c r="N94" s="2"/>
      <c r="O94" s="2"/>
      <c r="P94" s="2"/>
      <c r="Q94" s="2"/>
      <c r="R94" s="2"/>
      <c r="S94" s="2"/>
      <c r="AD94" s="2"/>
    </row>
    <row r="95" spans="2:30" x14ac:dyDescent="0.2">
      <c r="B95" s="2"/>
      <c r="C95" s="2"/>
      <c r="D95" s="2"/>
      <c r="E95" s="2"/>
      <c r="F95" s="2"/>
      <c r="G95" s="2"/>
      <c r="H95" s="2"/>
      <c r="I95" s="2"/>
      <c r="J95" s="2"/>
      <c r="K95" s="2"/>
      <c r="L95" s="2"/>
      <c r="M95" s="2"/>
      <c r="N95" s="2"/>
      <c r="O95" s="2"/>
      <c r="P95" s="2"/>
      <c r="Q95" s="2"/>
      <c r="R95" s="2"/>
      <c r="S95" s="2"/>
      <c r="AD95" s="2"/>
    </row>
    <row r="96" spans="2:30" x14ac:dyDescent="0.2">
      <c r="B96" s="2"/>
      <c r="C96" s="2"/>
      <c r="D96" s="2"/>
      <c r="E96" s="2"/>
      <c r="F96" s="2"/>
      <c r="G96" s="2"/>
      <c r="H96" s="2"/>
      <c r="I96" s="2"/>
      <c r="J96" s="2"/>
      <c r="K96" s="2"/>
      <c r="L96" s="2"/>
      <c r="M96" s="2"/>
      <c r="N96" s="2"/>
      <c r="O96" s="2"/>
      <c r="P96" s="2"/>
      <c r="Q96" s="2"/>
      <c r="R96" s="2"/>
      <c r="S96" s="2"/>
      <c r="AD96" s="2"/>
    </row>
    <row r="97" spans="2:30" x14ac:dyDescent="0.2">
      <c r="B97" s="2"/>
      <c r="C97" s="2"/>
      <c r="D97" s="2"/>
      <c r="E97" s="2"/>
      <c r="F97" s="2"/>
      <c r="G97" s="2"/>
      <c r="H97" s="2"/>
      <c r="I97" s="2"/>
      <c r="J97" s="2"/>
      <c r="K97" s="2"/>
      <c r="L97" s="2"/>
      <c r="M97" s="2"/>
      <c r="N97" s="2"/>
      <c r="O97" s="2"/>
      <c r="P97" s="2"/>
      <c r="Q97" s="2"/>
      <c r="R97" s="2"/>
      <c r="S97" s="2"/>
      <c r="AD97" s="2"/>
    </row>
    <row r="98" spans="2:30" x14ac:dyDescent="0.2">
      <c r="B98" s="2"/>
      <c r="C98" s="2"/>
      <c r="D98" s="2"/>
      <c r="E98" s="2"/>
      <c r="F98" s="2"/>
      <c r="G98" s="2"/>
      <c r="H98" s="2"/>
      <c r="I98" s="2"/>
      <c r="J98" s="2"/>
      <c r="K98" s="2"/>
      <c r="L98" s="2"/>
      <c r="M98" s="2"/>
      <c r="N98" s="2"/>
      <c r="O98" s="2"/>
      <c r="P98" s="2"/>
      <c r="Q98" s="2"/>
      <c r="R98" s="2"/>
      <c r="S98" s="2"/>
      <c r="AD98" s="2"/>
    </row>
    <row r="99" spans="2:30" x14ac:dyDescent="0.2">
      <c r="B99" s="2"/>
      <c r="C99" s="2"/>
      <c r="D99" s="2"/>
      <c r="E99" s="2"/>
      <c r="F99" s="2"/>
      <c r="G99" s="2"/>
      <c r="H99" s="2"/>
      <c r="I99" s="2"/>
      <c r="J99" s="2"/>
      <c r="K99" s="2"/>
      <c r="L99" s="2"/>
      <c r="M99" s="2"/>
      <c r="N99" s="2"/>
      <c r="O99" s="2"/>
      <c r="P99" s="2"/>
      <c r="Q99" s="2"/>
      <c r="R99" s="2"/>
      <c r="S99" s="2"/>
      <c r="AD99" s="2"/>
    </row>
    <row r="100" spans="2:30" x14ac:dyDescent="0.2">
      <c r="B100" s="2"/>
      <c r="C100" s="2"/>
      <c r="D100" s="2"/>
      <c r="E100" s="2"/>
      <c r="F100" s="2"/>
      <c r="G100" s="2"/>
      <c r="H100" s="2"/>
      <c r="I100" s="2"/>
      <c r="J100" s="2"/>
      <c r="K100" s="2"/>
      <c r="L100" s="2"/>
      <c r="M100" s="2"/>
      <c r="N100" s="2"/>
      <c r="O100" s="2"/>
      <c r="P100" s="2"/>
      <c r="Q100" s="2"/>
      <c r="R100" s="2"/>
      <c r="S100" s="2"/>
      <c r="AD100" s="2"/>
    </row>
    <row r="101" spans="2:30" x14ac:dyDescent="0.2">
      <c r="B101" s="2"/>
      <c r="C101" s="2"/>
      <c r="D101" s="2"/>
      <c r="E101" s="2"/>
      <c r="F101" s="2"/>
      <c r="G101" s="2"/>
      <c r="H101" s="2"/>
      <c r="I101" s="2"/>
      <c r="J101" s="2"/>
      <c r="K101" s="2"/>
      <c r="L101" s="2"/>
      <c r="M101" s="2"/>
      <c r="N101" s="2"/>
      <c r="O101" s="2"/>
      <c r="P101" s="2"/>
      <c r="Q101" s="2"/>
      <c r="R101" s="2"/>
      <c r="S101" s="2"/>
      <c r="AD101" s="2"/>
    </row>
    <row r="102" spans="2:30" x14ac:dyDescent="0.2">
      <c r="B102" s="2"/>
      <c r="C102" s="2"/>
      <c r="D102" s="2"/>
      <c r="E102" s="2"/>
      <c r="F102" s="2"/>
      <c r="G102" s="2"/>
      <c r="H102" s="2"/>
      <c r="I102" s="2"/>
      <c r="J102" s="2"/>
      <c r="K102" s="2"/>
      <c r="L102" s="2"/>
      <c r="M102" s="2"/>
      <c r="N102" s="2"/>
      <c r="O102" s="2"/>
      <c r="P102" s="2"/>
      <c r="Q102" s="2"/>
      <c r="R102" s="2"/>
      <c r="S102" s="2"/>
      <c r="AD102" s="2"/>
    </row>
    <row r="103" spans="2:30" x14ac:dyDescent="0.2">
      <c r="B103" s="2"/>
      <c r="C103" s="2"/>
      <c r="D103" s="2"/>
      <c r="E103" s="2"/>
      <c r="F103" s="2"/>
      <c r="G103" s="2"/>
      <c r="H103" s="2"/>
      <c r="I103" s="2"/>
      <c r="J103" s="2"/>
      <c r="K103" s="2"/>
      <c r="L103" s="2"/>
      <c r="M103" s="2"/>
      <c r="N103" s="2"/>
      <c r="O103" s="2"/>
      <c r="P103" s="2"/>
      <c r="Q103" s="2"/>
      <c r="R103" s="2"/>
      <c r="S103" s="2"/>
      <c r="AD103" s="2"/>
    </row>
    <row r="104" spans="2:30" x14ac:dyDescent="0.2">
      <c r="B104" s="2"/>
      <c r="C104" s="2"/>
      <c r="D104" s="2"/>
      <c r="E104" s="2"/>
      <c r="F104" s="2"/>
      <c r="G104" s="2"/>
      <c r="H104" s="2"/>
      <c r="I104" s="2"/>
      <c r="J104" s="2"/>
      <c r="K104" s="2"/>
      <c r="L104" s="2"/>
      <c r="M104" s="2"/>
      <c r="N104" s="2"/>
      <c r="O104" s="2"/>
      <c r="P104" s="2"/>
      <c r="Q104" s="2"/>
      <c r="R104" s="2"/>
      <c r="S104" s="2"/>
      <c r="AD104" s="2"/>
    </row>
    <row r="105" spans="2:30" x14ac:dyDescent="0.2">
      <c r="B105" s="2"/>
      <c r="C105" s="2"/>
      <c r="D105" s="2"/>
      <c r="E105" s="2"/>
      <c r="F105" s="2"/>
      <c r="G105" s="2"/>
      <c r="H105" s="2"/>
      <c r="I105" s="2"/>
      <c r="J105" s="2"/>
      <c r="K105" s="2"/>
      <c r="L105" s="2"/>
      <c r="M105" s="2"/>
      <c r="N105" s="2"/>
      <c r="O105" s="2"/>
      <c r="P105" s="2"/>
      <c r="Q105" s="2"/>
      <c r="R105" s="2"/>
      <c r="S105" s="2"/>
      <c r="AD105" s="2"/>
    </row>
    <row r="106" spans="2:30" x14ac:dyDescent="0.2">
      <c r="B106" s="2"/>
      <c r="C106" s="2"/>
      <c r="D106" s="2"/>
      <c r="E106" s="2"/>
      <c r="F106" s="2"/>
      <c r="G106" s="2"/>
      <c r="H106" s="2"/>
      <c r="I106" s="2"/>
      <c r="J106" s="2"/>
      <c r="K106" s="2"/>
      <c r="L106" s="2"/>
      <c r="M106" s="2"/>
      <c r="N106" s="2"/>
      <c r="O106" s="2"/>
      <c r="P106" s="2"/>
      <c r="Q106" s="2"/>
      <c r="R106" s="2"/>
      <c r="S106" s="2"/>
      <c r="AD106" s="2"/>
    </row>
    <row r="107" spans="2:30" x14ac:dyDescent="0.2">
      <c r="B107" s="2"/>
      <c r="C107" s="2"/>
      <c r="D107" s="2"/>
      <c r="E107" s="2"/>
      <c r="F107" s="2"/>
      <c r="G107" s="2"/>
      <c r="H107" s="2"/>
      <c r="I107" s="2"/>
      <c r="J107" s="2"/>
      <c r="K107" s="2"/>
      <c r="L107" s="2"/>
      <c r="M107" s="2"/>
      <c r="N107" s="2"/>
      <c r="O107" s="2"/>
      <c r="P107" s="2"/>
      <c r="Q107" s="2"/>
      <c r="R107" s="2"/>
      <c r="S107" s="2"/>
      <c r="T107" s="2" t="s">
        <v>169</v>
      </c>
      <c r="U107" s="2"/>
      <c r="V107" s="2"/>
      <c r="W107" s="2"/>
      <c r="X107" s="2"/>
      <c r="Y107" s="2"/>
      <c r="Z107" s="2"/>
      <c r="AA107" s="2"/>
      <c r="AB107" s="2"/>
      <c r="AC107" s="2"/>
      <c r="AD107" s="2"/>
    </row>
    <row r="108" spans="2:30"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11"/>
      <c r="Z108" s="2"/>
      <c r="AA108" s="2"/>
      <c r="AB108" s="2"/>
      <c r="AC108" s="2"/>
      <c r="AD108" s="2"/>
    </row>
    <row r="109" spans="2:30"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2:30"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2:30"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2:30"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2:30"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2:30"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2:30"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2:30"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2:30"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2:30"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2:30"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2:30"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2:30"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2:30"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2:30"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2:30"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2:30"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2:30"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2:30"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2:30"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2:30"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2:30"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2:30"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spans="2:30"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spans="2:30"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spans="2:30"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spans="2:30"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spans="2:30"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2:30"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spans="2:30"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2:30"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spans="2:30"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2:30"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2:30"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2:30"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2:30"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2:30"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2:30"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2:30"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2:30"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2:30"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2:30"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2:30"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2:30"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2:30"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2:30"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2:30"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2:30"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2:30"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2:30"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2:30"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2:30"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2:30"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2:30"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2:30"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2:30"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2:30"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2:30"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2:30"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2:30"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2:30"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2:30"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2:30"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2:30"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2:30"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2:30"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2:30"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2:30"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2:30"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2:30"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2:30"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2:30"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2:30"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2:30"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2:30"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2:30"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2:30"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2:30"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2:30"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2:30"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2:30"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2:30"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2:30"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2:30"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2:30"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2:30"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2:30"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2:30"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2:30"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2:30"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2:30"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2:30"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2:30"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2:30"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2:30"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2:30"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2:30"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2:30"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2:30"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2:30"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2:30"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2:30"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2:30"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2:30"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2:30"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2:30"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2:30"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2:30"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2:30"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2:30"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2:30"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2:30"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2:30"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spans="2:30"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spans="2:30"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spans="2:30"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2:30"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2:30"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2:30"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2:30"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2:30"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2:30"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2:30"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2:30"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2:30"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2:30"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2:30"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2:30"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2:30"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2:30"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2:30"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2:30"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2:30"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2:30"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2:30"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2:30"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2:30"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2:30"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2:30"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2:30"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2:30"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2:30"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2:30"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2:30"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2:30"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2:30"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2:30"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2:30"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2:30"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2:30"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2:30"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2:30"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2:30"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2:30"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2:30"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2:30"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2:30"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2:30"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2:30"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2:30"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2:30"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2:30"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spans="2:30"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spans="2:30"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spans="2:30"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2:30"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2:30"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2:30"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2:30"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spans="2:30"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spans="2:30"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spans="2:30"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spans="2:30"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spans="2:30"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spans="2:30"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spans="2:30"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spans="2:30"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spans="2:30"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spans="2:30"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spans="2:30"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spans="2:30"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spans="2:30"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spans="2:30"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spans="2:30"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spans="2:30"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spans="2:30"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spans="2:30"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spans="2:30"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spans="2:30"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spans="2:30"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spans="2:30"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spans="2:30"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spans="2:30"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spans="2:30"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spans="2:30"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spans="2:30"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spans="2:30"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spans="2:30"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spans="2:30"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spans="2:30"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spans="2:30"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spans="2:30"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spans="2:30"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spans="2:30"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spans="2:30"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spans="2:30"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spans="2:30"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spans="2:30"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spans="2:30"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spans="2:30"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spans="2:30"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spans="2:30"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spans="2:30"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spans="2:30"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spans="2:30"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spans="2:30"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spans="2:30"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spans="2:30"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spans="2:30"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spans="2:30"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spans="2:30"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spans="2:30"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spans="2:30"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spans="2:30"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spans="2:30"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spans="2:30"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spans="2:30"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spans="2:30"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spans="2:30"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spans="2:30"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spans="2:30"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spans="2:30"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spans="2:30"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spans="2:30"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spans="2:30"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spans="2:30"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spans="2:30"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spans="2:30"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spans="2:30"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spans="2:30"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spans="2:30"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spans="2:30"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spans="2:30"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spans="2:30"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spans="2:30"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spans="2:30"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spans="2:30"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spans="2:30"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spans="2:30"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spans="2:30"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spans="2:30"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spans="2:30"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spans="2:30"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spans="2:30"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spans="2:30"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spans="2:30"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spans="2:30"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spans="2:30"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spans="2:30"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spans="2:30"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spans="2:30"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spans="2:30"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spans="2:30"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spans="2:30"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spans="2:30"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spans="2:30"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spans="2:30"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spans="2:30"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spans="2:30"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spans="2:30"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spans="2:30"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spans="2:30"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spans="2:30"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spans="2:30"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spans="2:30"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spans="2:30"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spans="2:30"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spans="2:30"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spans="2:30"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spans="2:30"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spans="2:30"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spans="2:30"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spans="2:30"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spans="2:30"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spans="2:30"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spans="2:30"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spans="2:30"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spans="2:30"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spans="2:30"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spans="2:30"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spans="2:30"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spans="2:30"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spans="2:30"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spans="2:30"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spans="2:30"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spans="2:30"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spans="2:30"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spans="2:30"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spans="2:30"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spans="2:30"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spans="2:30"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spans="2:30"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spans="2:30"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spans="2:30"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spans="2:30"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spans="2:30"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spans="2:30"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spans="2:30"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spans="2:30"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spans="2:30"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spans="2:30"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spans="2:30"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spans="2:30"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spans="2:30"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spans="2:30"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spans="2:30"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spans="2:30"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spans="2:30"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spans="2:30"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spans="2:30"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spans="2:30"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spans="2:30"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spans="2:30"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spans="2:30"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spans="2:30"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spans="2:30"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spans="2:30"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spans="2:30"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spans="2:30"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spans="2:30"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spans="2:30"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spans="2:30"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spans="2:30"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spans="2:30"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spans="2:30"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spans="2:30"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spans="2:30"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spans="2:30"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spans="2:30"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spans="2:30"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spans="2:30"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spans="2:30"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spans="2:30"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spans="2:30"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spans="2:30"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spans="2:30"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spans="2:30"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spans="2:30"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spans="2:30"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spans="2:30"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spans="2:30"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spans="2:30"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spans="2:30"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spans="2:30"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spans="2:30"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spans="2:30"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spans="2:30"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spans="2:30"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spans="2:30"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spans="2:30"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spans="2:30"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spans="2:30"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spans="2:30"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spans="2:30"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spans="2:30"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spans="2:30"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spans="2:30"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spans="2:30"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spans="2:30"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spans="2:30"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spans="2:30"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spans="2:30"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spans="2:30"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spans="2:30"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spans="2:30"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spans="2:30"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spans="2:30"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spans="2:30"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spans="2:30"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spans="2:30"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spans="2:30"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spans="2:30"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spans="2:30"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spans="2:30"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spans="2:30"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spans="2:30"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spans="2:30"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spans="2:30"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spans="2:30"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spans="2:30"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spans="2:30"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spans="2:30"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spans="2:30"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spans="2:30"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spans="2:30"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spans="2:30"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spans="2:30"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spans="2:30"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spans="2:30"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spans="2:30"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spans="2:30"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spans="2:30"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spans="2:30"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spans="2:30"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spans="2:30"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spans="2:30"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spans="2:30"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spans="2:30"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spans="2:30"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spans="2:30"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spans="2:30"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spans="2:30"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spans="2:30"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spans="2:30"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spans="2:30"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spans="2:30"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spans="2:30"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spans="2:30"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spans="2:30"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spans="2:30"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spans="2:30"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spans="2:30"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spans="2:30"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spans="2:30"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spans="2:30"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spans="2:30"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spans="2:30"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spans="2:30"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spans="2:30"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spans="2:30"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spans="2:30"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spans="2:30"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spans="2:30"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spans="2:30"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spans="2:30"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spans="2:30"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spans="2:30"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spans="2:30"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spans="2:30"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spans="2:30"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spans="2:30"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spans="2:30"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spans="2:30"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spans="2:30"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spans="2:30"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spans="2:30"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spans="2:30"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spans="2:30"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spans="2:30"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spans="2:30"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spans="2:30"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spans="2:30"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spans="2:30"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spans="2:30"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spans="2:30"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spans="2:30"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spans="2:30"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spans="2:30"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spans="2:30"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spans="2:30"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spans="2:30"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spans="2:30"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spans="2:30"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spans="2:30"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spans="2:30"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spans="2:30"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spans="2:30"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spans="2:30"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spans="2:30"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spans="2:30"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spans="2:30"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spans="2:30"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spans="2:30"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spans="2:30"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spans="2:30"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spans="2:30"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spans="2:30"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spans="2:30"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spans="2:30"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spans="2:30"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spans="2:30"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spans="2:30"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spans="2:30"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spans="2:30"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spans="2:30"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spans="2:30"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spans="2:30"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spans="2:30"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spans="2:30"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spans="2:30"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spans="2:30"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spans="2:30"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spans="2:30"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spans="2:30"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spans="2:30"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spans="2:30"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spans="2:30"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spans="2:30"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spans="2:30"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spans="2:30"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spans="2:30"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spans="2:30"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spans="2:30"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spans="2:30"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spans="2:30"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spans="2:30"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spans="2:30"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spans="2:30"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spans="2:30"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spans="2:30"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spans="2:30"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spans="2:30"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spans="2:30"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spans="2:30"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spans="2:30"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spans="2:30"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spans="2:30"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spans="2:30"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spans="2:30"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spans="2:30"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spans="2:30"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spans="2:30"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spans="2:30"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spans="2:30"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spans="2:30"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spans="2:30"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spans="2:30"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spans="2:30"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spans="2:30"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spans="2:30"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spans="2:30"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spans="2:30"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spans="2:30"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spans="2:30"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spans="2:30"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spans="2:30"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spans="2:30"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spans="2:30"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spans="2:30"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spans="2:30"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spans="2:30"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spans="2:30"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spans="2:30"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spans="2:30"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spans="2:30"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spans="2:30"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spans="2:30"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spans="2:30"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spans="2:30"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spans="2:30"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spans="2:30"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spans="2:30"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spans="2:30"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2:30"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spans="2:30"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spans="2:30"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spans="2:30"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spans="2:30"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spans="2:30"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spans="2:30"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spans="2:30"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spans="2:30"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spans="2:30"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spans="2:30"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spans="2:30"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spans="2:30"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spans="2:30"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spans="2:30"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spans="2:30"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spans="2:30"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spans="2:30"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spans="2:30"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spans="2:30"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2:30"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spans="2:30"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spans="2:30"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spans="2:30"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spans="2:30"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2:30"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spans="2:30"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spans="2:30"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spans="2:30"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spans="2:30"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2:30"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spans="2:30"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spans="2:30"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spans="2:30"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spans="2:30"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spans="2:30"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spans="2:30"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spans="2:30"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spans="2:30"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spans="2:30"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spans="2:30"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spans="2:30"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spans="2:30"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spans="2:30"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spans="2:30"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spans="2:30"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spans="2:30"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spans="2:30"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spans="2:30"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spans="2:30"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spans="2:30"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spans="2:30"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spans="2:30"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spans="2:30"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spans="2:30"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spans="2:30"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spans="2:30"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spans="2:30"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spans="2:30"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spans="2:30"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spans="2:30"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spans="2:30"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spans="2:30"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spans="2:30"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spans="2:30"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spans="2:30"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spans="2:30"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spans="2:30"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spans="2:30"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spans="2:30"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spans="2:30"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spans="2:30"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spans="2:30"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spans="2:30"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spans="2:30"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spans="2:30"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spans="2:30"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spans="2:30"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spans="2:30"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spans="2:30"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spans="2:30"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spans="2:30"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spans="2:30"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spans="2:30"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spans="2:30"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spans="2:30"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spans="2:30"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spans="2:30"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spans="2:30"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spans="2:30"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spans="2:30"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spans="2:30"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spans="2:30"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spans="2:30"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spans="2:30"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spans="2:30"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spans="2:30"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spans="2:30"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spans="2:30"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spans="2:30"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spans="2:30"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spans="2:30"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spans="2:30"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spans="2:30"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spans="2:30"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spans="2:30"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spans="2:30"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spans="2:30"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spans="2:30"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spans="2:30"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spans="2:30"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spans="2:30"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spans="2:30"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spans="2:30"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spans="2:30"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spans="2:30"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spans="2:30"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spans="2:30"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spans="2:30"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spans="2:30"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spans="2:30"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spans="2:30"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spans="2:30"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spans="2:30"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spans="2:30"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spans="2:30"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spans="2:30"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spans="2:30"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spans="2:30"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spans="2:30"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spans="2:30"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spans="2:30"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spans="2:30"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spans="2:30"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spans="2:30"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spans="2:30"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spans="2:30"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spans="2:30"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spans="2:30"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spans="2:30"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spans="2:30"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spans="2:30"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spans="2:30"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spans="2:30"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spans="2:30"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spans="2:30"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spans="2:30"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spans="2:30"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spans="2:30"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spans="2:30"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spans="2:30"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spans="2:30"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spans="2:30"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spans="2:30"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spans="2:30"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spans="2:30"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spans="2:30"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spans="2:30"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spans="2:30"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spans="2:30"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spans="2:30"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spans="2:30"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spans="2:30"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spans="2:30"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spans="2:30"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spans="2:30"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spans="2:30"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spans="2:30"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spans="2:30"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spans="2:30"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spans="2:30"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spans="2:30"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spans="2:30"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spans="2:30"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spans="2:30"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spans="2:30"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spans="2:30"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spans="2:30"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spans="2:30"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spans="2:30"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spans="2:30"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spans="2:30"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spans="2:30"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spans="2:30"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spans="2:30"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spans="2:30"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spans="2:30"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spans="2:30"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spans="2:30"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spans="2:30"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spans="2:30"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spans="2:30"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spans="2:30"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spans="2:30"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spans="2:30"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spans="2:30"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spans="2:30"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spans="2:30"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spans="2:30"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spans="2:30"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spans="2:30"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spans="2:30"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spans="2:30"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spans="2:30"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spans="2:30"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spans="2:30"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spans="2:30"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spans="2:30"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spans="2:30"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spans="2:30"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spans="2:30"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spans="2:30"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spans="2:30"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spans="2:30"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spans="2:30"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spans="2:30"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spans="2:30"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spans="2:30"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spans="2:30"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spans="2:30"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spans="2:30"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spans="2:30"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spans="2:30"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spans="2:30"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spans="2:30"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spans="2:30"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spans="2:30"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spans="2:30"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spans="2:30"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spans="2:30"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spans="2:30"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spans="2:30"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spans="2:30"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spans="2:30"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spans="2:30"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spans="2:30"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spans="2:30"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spans="2:30"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spans="2:30"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spans="2:30"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spans="2:30"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spans="2:30"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spans="2:30"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spans="2:30"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spans="2:30"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spans="2:30"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spans="2:30"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spans="2:30"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spans="2:30"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spans="2:30"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spans="2:30"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spans="2:30"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spans="2:30"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spans="2:30"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spans="2:30"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spans="2:30"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spans="2:30"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spans="2:30"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spans="2:30"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spans="2:30"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spans="2:30"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spans="2:30"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spans="2:30"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spans="2:30"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spans="2:30"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spans="2:30"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spans="2:30"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spans="2:30"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spans="2:30"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spans="2:30"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spans="2:30"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spans="2:30"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spans="2:30"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spans="2:30"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spans="2:30"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spans="2:30"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spans="2:30"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spans="2:30"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spans="2:30"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spans="2:30"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spans="2:30"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spans="2:30"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spans="2:30"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spans="2:30"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spans="2:30"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spans="2:30"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spans="2:30"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spans="2:30"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spans="2:30"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spans="2:30"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spans="2:30"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spans="2:30"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spans="2:30"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spans="2:30"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spans="2:30"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spans="2:30"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spans="2:30"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spans="2:30"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spans="2:30"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spans="2:30"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spans="2:30"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spans="2:30"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spans="2:30"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spans="2:30"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spans="2:30"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spans="2:30"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spans="2:30"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spans="2:30"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spans="2:30"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spans="2:30"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spans="2:30"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spans="2:30"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spans="2:30"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spans="2:30"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spans="2:30"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spans="2:30"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spans="2:30"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spans="2:30"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spans="2:30" x14ac:dyDescent="0.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spans="2:30" x14ac:dyDescent="0.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spans="2:30" x14ac:dyDescent="0.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spans="2:30" x14ac:dyDescent="0.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spans="2:30" x14ac:dyDescent="0.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spans="2:30" x14ac:dyDescent="0.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spans="2:30" x14ac:dyDescent="0.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spans="2:30" x14ac:dyDescent="0.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spans="2:30" x14ac:dyDescent="0.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spans="2:30" x14ac:dyDescent="0.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spans="2:30" x14ac:dyDescent="0.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spans="2:30" x14ac:dyDescent="0.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spans="2:30" x14ac:dyDescent="0.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spans="2:30" x14ac:dyDescent="0.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spans="2:30" x14ac:dyDescent="0.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spans="2:30" x14ac:dyDescent="0.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spans="2:30" x14ac:dyDescent="0.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spans="2:30" x14ac:dyDescent="0.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spans="2:30" x14ac:dyDescent="0.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spans="2:30" x14ac:dyDescent="0.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spans="2:30" x14ac:dyDescent="0.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row r="1001" spans="2:30" x14ac:dyDescent="0.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row>
    <row r="1002" spans="2:30" x14ac:dyDescent="0.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row>
    <row r="1003" spans="2:30" x14ac:dyDescent="0.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row>
    <row r="1004" spans="2:30" x14ac:dyDescent="0.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row>
    <row r="1005" spans="2:30" x14ac:dyDescent="0.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row>
    <row r="1006" spans="2:30" x14ac:dyDescent="0.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row>
    <row r="1007" spans="2:30" x14ac:dyDescent="0.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row>
    <row r="1008" spans="2:30" x14ac:dyDescent="0.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row>
    <row r="1009" spans="2:30" x14ac:dyDescent="0.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row>
    <row r="1010" spans="2:30" x14ac:dyDescent="0.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row>
    <row r="1011" spans="2:30" x14ac:dyDescent="0.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row>
    <row r="1012" spans="2:30" x14ac:dyDescent="0.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row>
    <row r="1013" spans="2:30" x14ac:dyDescent="0.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row>
    <row r="1014" spans="2:30" x14ac:dyDescent="0.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row>
    <row r="1015" spans="2:30" x14ac:dyDescent="0.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row>
    <row r="1016" spans="2:30" x14ac:dyDescent="0.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row>
    <row r="1017" spans="2:30" x14ac:dyDescent="0.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row>
    <row r="1018" spans="2:30" x14ac:dyDescent="0.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row>
    <row r="1019" spans="2:30" x14ac:dyDescent="0.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row>
    <row r="1020" spans="2:30" x14ac:dyDescent="0.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row>
    <row r="1021" spans="2:30" x14ac:dyDescent="0.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row>
    <row r="1022" spans="2:30" x14ac:dyDescent="0.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row>
    <row r="1023" spans="2:30" x14ac:dyDescent="0.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row>
    <row r="1024" spans="2:30" x14ac:dyDescent="0.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row>
    <row r="1025" spans="2:30" x14ac:dyDescent="0.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row>
    <row r="1026" spans="2:30" x14ac:dyDescent="0.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row>
    <row r="1027" spans="2:30" x14ac:dyDescent="0.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row>
    <row r="1028" spans="2:30" x14ac:dyDescent="0.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row>
    <row r="1029" spans="2:30" x14ac:dyDescent="0.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row>
    <row r="1030" spans="2:30" x14ac:dyDescent="0.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row>
    <row r="1031" spans="2:30" x14ac:dyDescent="0.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row>
    <row r="1032" spans="2:30" x14ac:dyDescent="0.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row>
    <row r="1033" spans="2:30" x14ac:dyDescent="0.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row>
    <row r="1034" spans="2:30" x14ac:dyDescent="0.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row>
    <row r="1035" spans="2:30" x14ac:dyDescent="0.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row>
    <row r="1036" spans="2:30" x14ac:dyDescent="0.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row>
    <row r="1037" spans="2:30" x14ac:dyDescent="0.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row>
    <row r="1038" spans="2:30" x14ac:dyDescent="0.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row>
    <row r="1039" spans="2:30" x14ac:dyDescent="0.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row>
    <row r="1040" spans="2:30" x14ac:dyDescent="0.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row>
    <row r="1041" spans="2:30" x14ac:dyDescent="0.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row>
    <row r="1042" spans="2:30" x14ac:dyDescent="0.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row>
    <row r="1043" spans="2:30" x14ac:dyDescent="0.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row>
    <row r="1044" spans="2:30" x14ac:dyDescent="0.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row>
    <row r="1045" spans="2:30" x14ac:dyDescent="0.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row>
    <row r="1046" spans="2:30" x14ac:dyDescent="0.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row>
    <row r="1047" spans="2:30" x14ac:dyDescent="0.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row>
    <row r="1048" spans="2:30" x14ac:dyDescent="0.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row>
    <row r="1049" spans="2:30" x14ac:dyDescent="0.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row>
    <row r="1050" spans="2:30" x14ac:dyDescent="0.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row>
    <row r="1051" spans="2:30" x14ac:dyDescent="0.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row>
    <row r="1052" spans="2:30" x14ac:dyDescent="0.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row>
    <row r="1053" spans="2:30" x14ac:dyDescent="0.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row>
    <row r="1054" spans="2:30" x14ac:dyDescent="0.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row>
    <row r="1055" spans="2:30" x14ac:dyDescent="0.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row>
    <row r="1056" spans="2:30" x14ac:dyDescent="0.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row>
    <row r="1057" spans="2:30" x14ac:dyDescent="0.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row>
    <row r="1058" spans="2:30" x14ac:dyDescent="0.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row>
    <row r="1059" spans="2:30" x14ac:dyDescent="0.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row>
    <row r="1060" spans="2:30" x14ac:dyDescent="0.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row>
    <row r="1061" spans="2:30" x14ac:dyDescent="0.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row>
    <row r="1062" spans="2:30" x14ac:dyDescent="0.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row>
    <row r="1063" spans="2:30" x14ac:dyDescent="0.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row>
    <row r="1064" spans="2:30" x14ac:dyDescent="0.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row>
    <row r="1065" spans="2:30" x14ac:dyDescent="0.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row>
    <row r="1066" spans="2:30" x14ac:dyDescent="0.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row>
    <row r="1067" spans="2:30" x14ac:dyDescent="0.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row>
    <row r="1068" spans="2:30" x14ac:dyDescent="0.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row>
    <row r="1069" spans="2:30" x14ac:dyDescent="0.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row>
    <row r="1070" spans="2:30" x14ac:dyDescent="0.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row>
    <row r="1071" spans="2:30" x14ac:dyDescent="0.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row>
    <row r="1072" spans="2:30" x14ac:dyDescent="0.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row>
    <row r="1073" spans="2:30" x14ac:dyDescent="0.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row>
    <row r="1074" spans="2:30" x14ac:dyDescent="0.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row>
    <row r="1075" spans="2:30" x14ac:dyDescent="0.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row>
    <row r="1076" spans="2:30" x14ac:dyDescent="0.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row>
    <row r="1077" spans="2:30" x14ac:dyDescent="0.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row>
    <row r="1078" spans="2:30" x14ac:dyDescent="0.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row>
    <row r="1079" spans="2:30" x14ac:dyDescent="0.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row>
    <row r="1080" spans="2:30" x14ac:dyDescent="0.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row>
    <row r="1081" spans="2:30" x14ac:dyDescent="0.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row>
    <row r="1082" spans="2:30" x14ac:dyDescent="0.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row>
    <row r="1083" spans="2:30" x14ac:dyDescent="0.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row>
    <row r="1084" spans="2:30" x14ac:dyDescent="0.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row>
    <row r="1085" spans="2:30" x14ac:dyDescent="0.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row>
    <row r="1086" spans="2:30" x14ac:dyDescent="0.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row>
    <row r="1087" spans="2:30" x14ac:dyDescent="0.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row>
    <row r="1088" spans="2:30" x14ac:dyDescent="0.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row>
    <row r="1089" spans="2:30" x14ac:dyDescent="0.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row>
    <row r="1090" spans="2:30" x14ac:dyDescent="0.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row>
    <row r="1091" spans="2:30" x14ac:dyDescent="0.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row>
    <row r="1092" spans="2:30" x14ac:dyDescent="0.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row>
    <row r="1093" spans="2:30" x14ac:dyDescent="0.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row>
    <row r="1094" spans="2:30" x14ac:dyDescent="0.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row>
    <row r="1095" spans="2:30" x14ac:dyDescent="0.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row>
    <row r="1096" spans="2:30" x14ac:dyDescent="0.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row>
    <row r="1097" spans="2:30" x14ac:dyDescent="0.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row>
    <row r="1098" spans="2:30" x14ac:dyDescent="0.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row>
    <row r="1099" spans="2:30" x14ac:dyDescent="0.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row>
    <row r="1100" spans="2:30" x14ac:dyDescent="0.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row>
    <row r="1101" spans="2:30" x14ac:dyDescent="0.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row>
    <row r="1102" spans="2:30" x14ac:dyDescent="0.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row>
    <row r="1103" spans="2:30" x14ac:dyDescent="0.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row>
    <row r="1104" spans="2:30" x14ac:dyDescent="0.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row>
    <row r="1105" spans="2:30" x14ac:dyDescent="0.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row>
    <row r="1106" spans="2:30" x14ac:dyDescent="0.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row>
    <row r="1107" spans="2:30" x14ac:dyDescent="0.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row>
    <row r="1108" spans="2:30" x14ac:dyDescent="0.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row>
    <row r="1109" spans="2:30" x14ac:dyDescent="0.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row>
    <row r="1110" spans="2:30" x14ac:dyDescent="0.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row>
    <row r="1111" spans="2:30" x14ac:dyDescent="0.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row>
    <row r="1112" spans="2:30" x14ac:dyDescent="0.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row>
    <row r="1113" spans="2:30" x14ac:dyDescent="0.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row>
    <row r="1114" spans="2:30" x14ac:dyDescent="0.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row>
    <row r="1115" spans="2:30" x14ac:dyDescent="0.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row>
    <row r="1116" spans="2:30" x14ac:dyDescent="0.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row>
    <row r="1117" spans="2:30" x14ac:dyDescent="0.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row>
    <row r="1118" spans="2:30" x14ac:dyDescent="0.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row>
    <row r="1119" spans="2:30" x14ac:dyDescent="0.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row>
    <row r="1120" spans="2:30" x14ac:dyDescent="0.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row>
    <row r="1121" spans="2:30" x14ac:dyDescent="0.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row>
    <row r="1122" spans="2:30" x14ac:dyDescent="0.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row>
    <row r="1123" spans="2:30" x14ac:dyDescent="0.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row>
    <row r="1124" spans="2:30" x14ac:dyDescent="0.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row>
    <row r="1125" spans="2:30" x14ac:dyDescent="0.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row>
    <row r="1126" spans="2:30" x14ac:dyDescent="0.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row>
    <row r="1127" spans="2:30" x14ac:dyDescent="0.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row>
    <row r="1128" spans="2:30" x14ac:dyDescent="0.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row>
    <row r="1129" spans="2:30" x14ac:dyDescent="0.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row>
    <row r="1130" spans="2:30" x14ac:dyDescent="0.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row>
    <row r="1131" spans="2:30" x14ac:dyDescent="0.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row>
    <row r="1132" spans="2:30" x14ac:dyDescent="0.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row>
    <row r="1133" spans="2:30" x14ac:dyDescent="0.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row>
    <row r="1134" spans="2:30" x14ac:dyDescent="0.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row>
    <row r="1135" spans="2:30" x14ac:dyDescent="0.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row>
    <row r="1136" spans="2:30" x14ac:dyDescent="0.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row>
    <row r="1137" spans="2:30" x14ac:dyDescent="0.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row>
    <row r="1138" spans="2:30" x14ac:dyDescent="0.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row>
    <row r="1139" spans="2:30" x14ac:dyDescent="0.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row>
    <row r="1140" spans="2:30" x14ac:dyDescent="0.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row>
    <row r="1141" spans="2:30" x14ac:dyDescent="0.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row>
    <row r="1142" spans="2:30" x14ac:dyDescent="0.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row>
    <row r="1143" spans="2:30" x14ac:dyDescent="0.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row>
    <row r="1144" spans="2:30" x14ac:dyDescent="0.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row>
    <row r="1145" spans="2:30" x14ac:dyDescent="0.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row>
    <row r="1146" spans="2:30" x14ac:dyDescent="0.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row>
    <row r="1147" spans="2:30" x14ac:dyDescent="0.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row>
    <row r="1148" spans="2:30" x14ac:dyDescent="0.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row>
    <row r="1149" spans="2:30" x14ac:dyDescent="0.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row>
    <row r="1150" spans="2:30" x14ac:dyDescent="0.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row>
    <row r="1151" spans="2:30" x14ac:dyDescent="0.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row>
    <row r="1152" spans="2:30" x14ac:dyDescent="0.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row>
    <row r="1153" spans="2:30" x14ac:dyDescent="0.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row>
    <row r="1154" spans="2:30" x14ac:dyDescent="0.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row>
    <row r="1155" spans="2:30" x14ac:dyDescent="0.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row>
    <row r="1156" spans="2:30" x14ac:dyDescent="0.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row>
    <row r="1157" spans="2:30" x14ac:dyDescent="0.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row>
    <row r="1158" spans="2:30" x14ac:dyDescent="0.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row>
    <row r="1159" spans="2:30" x14ac:dyDescent="0.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row>
    <row r="1160" spans="2:30" x14ac:dyDescent="0.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row>
    <row r="1161" spans="2:30" x14ac:dyDescent="0.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row>
    <row r="1162" spans="2:30" x14ac:dyDescent="0.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row>
    <row r="1163" spans="2:30" x14ac:dyDescent="0.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row>
    <row r="1164" spans="2:30" x14ac:dyDescent="0.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row>
    <row r="1165" spans="2:30" x14ac:dyDescent="0.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row>
    <row r="1166" spans="2:30" x14ac:dyDescent="0.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row>
    <row r="1167" spans="2:30" x14ac:dyDescent="0.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row>
    <row r="1168" spans="2:30" x14ac:dyDescent="0.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row>
    <row r="1169" spans="2:30" x14ac:dyDescent="0.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row>
    <row r="1170" spans="2:30" x14ac:dyDescent="0.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row>
    <row r="1171" spans="2:30" x14ac:dyDescent="0.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row>
    <row r="1172" spans="2:30" x14ac:dyDescent="0.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row>
    <row r="1173" spans="2:30" x14ac:dyDescent="0.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row>
    <row r="1174" spans="2:30" x14ac:dyDescent="0.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row>
    <row r="1175" spans="2:30" x14ac:dyDescent="0.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row>
    <row r="1176" spans="2:30" x14ac:dyDescent="0.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row>
    <row r="1177" spans="2:30" x14ac:dyDescent="0.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row>
    <row r="1178" spans="2:30" x14ac:dyDescent="0.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row>
    <row r="1179" spans="2:30" x14ac:dyDescent="0.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row>
    <row r="1180" spans="2:30" x14ac:dyDescent="0.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row>
    <row r="1181" spans="2:30" x14ac:dyDescent="0.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row>
    <row r="1182" spans="2:30" x14ac:dyDescent="0.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row>
    <row r="1183" spans="2:30" x14ac:dyDescent="0.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row>
    <row r="1184" spans="2:30" x14ac:dyDescent="0.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row>
    <row r="1185" spans="2:30" x14ac:dyDescent="0.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row>
    <row r="1186" spans="2:30" x14ac:dyDescent="0.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row>
    <row r="1187" spans="2:30" x14ac:dyDescent="0.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row>
    <row r="1188" spans="2:30" x14ac:dyDescent="0.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row>
    <row r="1189" spans="2:30" x14ac:dyDescent="0.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row>
    <row r="1190" spans="2:30" x14ac:dyDescent="0.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row>
    <row r="1191" spans="2:30" x14ac:dyDescent="0.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row>
    <row r="1192" spans="2:30" x14ac:dyDescent="0.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row>
    <row r="1193" spans="2:30" x14ac:dyDescent="0.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row>
    <row r="1194" spans="2:30" x14ac:dyDescent="0.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row>
    <row r="1195" spans="2:30" x14ac:dyDescent="0.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row>
    <row r="1196" spans="2:30" x14ac:dyDescent="0.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row>
    <row r="1197" spans="2:30" x14ac:dyDescent="0.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row>
    <row r="1198" spans="2:30" x14ac:dyDescent="0.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row>
    <row r="1199" spans="2:30" x14ac:dyDescent="0.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row>
    <row r="1200" spans="2:30" x14ac:dyDescent="0.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row>
    <row r="1201" spans="2:30" x14ac:dyDescent="0.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row>
    <row r="1202" spans="2:30" x14ac:dyDescent="0.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row>
    <row r="1203" spans="2:30" x14ac:dyDescent="0.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row>
    <row r="1204" spans="2:30" x14ac:dyDescent="0.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row>
    <row r="1205" spans="2:30" x14ac:dyDescent="0.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row>
    <row r="1206" spans="2:30" x14ac:dyDescent="0.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row>
    <row r="1207" spans="2:30" x14ac:dyDescent="0.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row>
    <row r="1208" spans="2:30" x14ac:dyDescent="0.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row>
    <row r="1209" spans="2:30" x14ac:dyDescent="0.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row>
    <row r="1210" spans="2:30" x14ac:dyDescent="0.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row>
    <row r="1211" spans="2:30" x14ac:dyDescent="0.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row>
    <row r="1212" spans="2:30" x14ac:dyDescent="0.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row>
    <row r="1213" spans="2:30" x14ac:dyDescent="0.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row>
    <row r="1214" spans="2:30" x14ac:dyDescent="0.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row>
    <row r="1215" spans="2:30" x14ac:dyDescent="0.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row>
    <row r="1216" spans="2:30" x14ac:dyDescent="0.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row>
    <row r="1217" spans="2:30" x14ac:dyDescent="0.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row>
    <row r="1218" spans="2:30" x14ac:dyDescent="0.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row>
    <row r="1219" spans="2:30" x14ac:dyDescent="0.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row>
    <row r="1220" spans="2:30" x14ac:dyDescent="0.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row>
    <row r="1221" spans="2:30" x14ac:dyDescent="0.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row>
    <row r="1222" spans="2:30" x14ac:dyDescent="0.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row>
    <row r="1223" spans="2:30" x14ac:dyDescent="0.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row>
    <row r="1224" spans="2:30" x14ac:dyDescent="0.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row>
    <row r="1225" spans="2:30" x14ac:dyDescent="0.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row>
    <row r="1226" spans="2:30" x14ac:dyDescent="0.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row>
    <row r="1227" spans="2:30" x14ac:dyDescent="0.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row>
    <row r="1228" spans="2:30" x14ac:dyDescent="0.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row>
    <row r="1229" spans="2:30" x14ac:dyDescent="0.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row>
    <row r="1230" spans="2:30" x14ac:dyDescent="0.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row>
    <row r="1231" spans="2:30" x14ac:dyDescent="0.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row>
    <row r="1232" spans="2:30" x14ac:dyDescent="0.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row>
    <row r="1233" spans="2:30" x14ac:dyDescent="0.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row>
    <row r="1234" spans="2:30" x14ac:dyDescent="0.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row>
    <row r="1235" spans="2:30" x14ac:dyDescent="0.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row>
    <row r="1236" spans="2:30" x14ac:dyDescent="0.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row>
    <row r="1237" spans="2:30" x14ac:dyDescent="0.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row>
    <row r="1238" spans="2:30" x14ac:dyDescent="0.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row>
    <row r="1239" spans="2:30" x14ac:dyDescent="0.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row>
    <row r="1240" spans="2:30" x14ac:dyDescent="0.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row>
    <row r="1241" spans="2:30" x14ac:dyDescent="0.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row>
    <row r="1242" spans="2:30" x14ac:dyDescent="0.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row>
    <row r="1243" spans="2:30" x14ac:dyDescent="0.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row>
    <row r="1244" spans="2:30" x14ac:dyDescent="0.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row>
    <row r="1245" spans="2:30" x14ac:dyDescent="0.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row>
    <row r="1246" spans="2:30" x14ac:dyDescent="0.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row>
    <row r="1247" spans="2:30" x14ac:dyDescent="0.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row>
    <row r="1248" spans="2:30" x14ac:dyDescent="0.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row>
    <row r="1249" spans="2:30" x14ac:dyDescent="0.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row>
    <row r="1250" spans="2:30" x14ac:dyDescent="0.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row>
    <row r="1251" spans="2:30" x14ac:dyDescent="0.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row>
    <row r="1252" spans="2:30" x14ac:dyDescent="0.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row>
    <row r="1253" spans="2:30" x14ac:dyDescent="0.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row>
    <row r="1254" spans="2:30" x14ac:dyDescent="0.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row>
    <row r="1255" spans="2:30" x14ac:dyDescent="0.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row>
    <row r="1256" spans="2:30" x14ac:dyDescent="0.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row>
    <row r="1257" spans="2:30" x14ac:dyDescent="0.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row>
    <row r="1258" spans="2:30" x14ac:dyDescent="0.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row>
    <row r="1259" spans="2:30" x14ac:dyDescent="0.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row>
    <row r="1260" spans="2:30" x14ac:dyDescent="0.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row>
    <row r="1261" spans="2:30" x14ac:dyDescent="0.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row>
    <row r="1262" spans="2:30" x14ac:dyDescent="0.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row>
    <row r="1263" spans="2:30" x14ac:dyDescent="0.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row>
    <row r="1264" spans="2:30" x14ac:dyDescent="0.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row>
    <row r="1265" spans="2:30" x14ac:dyDescent="0.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row>
    <row r="1266" spans="2:30" x14ac:dyDescent="0.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row>
    <row r="1267" spans="2:30" x14ac:dyDescent="0.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row>
    <row r="1268" spans="2:30" x14ac:dyDescent="0.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row>
    <row r="1269" spans="2:30" x14ac:dyDescent="0.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row>
    <row r="1270" spans="2:30" x14ac:dyDescent="0.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row>
    <row r="1271" spans="2:30" x14ac:dyDescent="0.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row>
    <row r="1272" spans="2:30" x14ac:dyDescent="0.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row>
    <row r="1273" spans="2:30" x14ac:dyDescent="0.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row>
    <row r="1274" spans="2:30" x14ac:dyDescent="0.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row>
    <row r="1275" spans="2:30" x14ac:dyDescent="0.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row>
    <row r="1276" spans="2:30" x14ac:dyDescent="0.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row>
    <row r="1277" spans="2:30" x14ac:dyDescent="0.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row>
    <row r="1278" spans="2:30" x14ac:dyDescent="0.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row>
    <row r="1279" spans="2:30" x14ac:dyDescent="0.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row>
    <row r="1280" spans="2:30" x14ac:dyDescent="0.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row>
    <row r="1281" spans="2:30" x14ac:dyDescent="0.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row>
    <row r="1282" spans="2:30" x14ac:dyDescent="0.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row>
    <row r="1283" spans="2:30" x14ac:dyDescent="0.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row>
    <row r="1284" spans="2:30" x14ac:dyDescent="0.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row>
    <row r="1285" spans="2:30" x14ac:dyDescent="0.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row>
    <row r="1286" spans="2:30" x14ac:dyDescent="0.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row>
    <row r="1287" spans="2:30" x14ac:dyDescent="0.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row>
    <row r="1288" spans="2:30" x14ac:dyDescent="0.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row>
    <row r="1289" spans="2:30" x14ac:dyDescent="0.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row>
    <row r="1290" spans="2:30" x14ac:dyDescent="0.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row>
    <row r="1291" spans="2:30" x14ac:dyDescent="0.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row>
    <row r="1292" spans="2:30" x14ac:dyDescent="0.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row>
    <row r="1293" spans="2:30" x14ac:dyDescent="0.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row>
    <row r="1294" spans="2:30" x14ac:dyDescent="0.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row>
    <row r="1295" spans="2:30" x14ac:dyDescent="0.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row>
    <row r="1296" spans="2:30" x14ac:dyDescent="0.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row>
    <row r="1297" spans="2:30" x14ac:dyDescent="0.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row>
    <row r="1298" spans="2:30" x14ac:dyDescent="0.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row>
    <row r="1299" spans="2:30" x14ac:dyDescent="0.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row>
    <row r="1300" spans="2:30" x14ac:dyDescent="0.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row>
    <row r="1301" spans="2:30" x14ac:dyDescent="0.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row>
    <row r="1302" spans="2:30" x14ac:dyDescent="0.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row>
    <row r="1303" spans="2:30" x14ac:dyDescent="0.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row>
    <row r="1304" spans="2:30" x14ac:dyDescent="0.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row>
    <row r="1305" spans="2:30" x14ac:dyDescent="0.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row>
    <row r="1306" spans="2:30" x14ac:dyDescent="0.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row>
    <row r="1307" spans="2:30" x14ac:dyDescent="0.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row>
    <row r="1308" spans="2:30" x14ac:dyDescent="0.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row>
    <row r="1309" spans="2:30" x14ac:dyDescent="0.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row>
    <row r="1310" spans="2:30" x14ac:dyDescent="0.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row>
    <row r="1311" spans="2:30" x14ac:dyDescent="0.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row>
    <row r="1312" spans="2:30" x14ac:dyDescent="0.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row>
    <row r="1313" spans="2:30" x14ac:dyDescent="0.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row>
    <row r="1314" spans="2:30" x14ac:dyDescent="0.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row>
    <row r="1315" spans="2:30" x14ac:dyDescent="0.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row>
    <row r="1316" spans="2:30" x14ac:dyDescent="0.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row>
    <row r="1317" spans="2:30" x14ac:dyDescent="0.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row>
    <row r="1318" spans="2:30" x14ac:dyDescent="0.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row>
    <row r="1319" spans="2:30" x14ac:dyDescent="0.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row>
    <row r="1320" spans="2:30" x14ac:dyDescent="0.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row>
    <row r="1321" spans="2:30" x14ac:dyDescent="0.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row>
    <row r="1322" spans="2:30" x14ac:dyDescent="0.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row>
    <row r="1323" spans="2:30" x14ac:dyDescent="0.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row>
    <row r="1324" spans="2:30" x14ac:dyDescent="0.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row>
    <row r="1325" spans="2:30" x14ac:dyDescent="0.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row>
    <row r="1326" spans="2:30" x14ac:dyDescent="0.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row>
    <row r="1327" spans="2:30" x14ac:dyDescent="0.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row>
    <row r="1328" spans="2:30" x14ac:dyDescent="0.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row>
    <row r="1329" spans="2:30" x14ac:dyDescent="0.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row>
    <row r="1330" spans="2:30" x14ac:dyDescent="0.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row>
    <row r="1331" spans="2:30" x14ac:dyDescent="0.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row>
    <row r="1332" spans="2:30" x14ac:dyDescent="0.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row>
    <row r="1333" spans="2:30" x14ac:dyDescent="0.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row>
    <row r="1334" spans="2:30" x14ac:dyDescent="0.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row>
    <row r="1335" spans="2:30" x14ac:dyDescent="0.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row>
    <row r="1336" spans="2:30" x14ac:dyDescent="0.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row>
    <row r="1337" spans="2:30" x14ac:dyDescent="0.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row>
    <row r="1338" spans="2:30" x14ac:dyDescent="0.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row>
    <row r="1339" spans="2:30" x14ac:dyDescent="0.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row>
    <row r="1340" spans="2:30" x14ac:dyDescent="0.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row>
    <row r="1341" spans="2:30" x14ac:dyDescent="0.2">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row>
    <row r="1342" spans="2:30" x14ac:dyDescent="0.2">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row>
    <row r="1343" spans="2:30" x14ac:dyDescent="0.2">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row>
    <row r="1344" spans="2:30" x14ac:dyDescent="0.2">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row>
    <row r="1345" spans="2:30" x14ac:dyDescent="0.2">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row>
    <row r="1346" spans="2:30" x14ac:dyDescent="0.2">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row>
    <row r="1347" spans="2:30" x14ac:dyDescent="0.2">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row>
    <row r="1348" spans="2:30" x14ac:dyDescent="0.2">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row>
    <row r="1349" spans="2:30" x14ac:dyDescent="0.2">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row>
    <row r="1350" spans="2:30" x14ac:dyDescent="0.2">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row>
    <row r="1351" spans="2:30" x14ac:dyDescent="0.2">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row>
    <row r="1352" spans="2:30" x14ac:dyDescent="0.2">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row>
    <row r="1353" spans="2:30" x14ac:dyDescent="0.2">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row>
    <row r="1354" spans="2:30" x14ac:dyDescent="0.2">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row>
    <row r="1355" spans="2:30" x14ac:dyDescent="0.2">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row>
    <row r="1356" spans="2:30" x14ac:dyDescent="0.2">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row>
    <row r="1357" spans="2:30" x14ac:dyDescent="0.2">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row>
    <row r="1358" spans="2:30" x14ac:dyDescent="0.2">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row>
    <row r="1359" spans="2:30" x14ac:dyDescent="0.2">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row>
    <row r="1360" spans="2:30" x14ac:dyDescent="0.2">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row>
    <row r="1361" spans="2:30" x14ac:dyDescent="0.2">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row>
    <row r="1362" spans="2:30" x14ac:dyDescent="0.2">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row>
    <row r="1363" spans="2:30" x14ac:dyDescent="0.2">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row>
    <row r="1364" spans="2:30" x14ac:dyDescent="0.2">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row>
    <row r="1365" spans="2:30" x14ac:dyDescent="0.2">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row>
    <row r="1366" spans="2:30" x14ac:dyDescent="0.2">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row>
    <row r="1367" spans="2:30" x14ac:dyDescent="0.2">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row>
    <row r="1368" spans="2:30" x14ac:dyDescent="0.2">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row>
    <row r="1369" spans="2:30" x14ac:dyDescent="0.2">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row>
    <row r="1370" spans="2:30" x14ac:dyDescent="0.2">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row>
    <row r="1371" spans="2:30" x14ac:dyDescent="0.2">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row>
    <row r="1372" spans="2:30" x14ac:dyDescent="0.2">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row>
    <row r="1373" spans="2:30" x14ac:dyDescent="0.2">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row>
    <row r="1374" spans="2:30" x14ac:dyDescent="0.2">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row>
    <row r="1375" spans="2:30" x14ac:dyDescent="0.2">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row>
    <row r="1376" spans="2:30" x14ac:dyDescent="0.2">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row>
    <row r="1377" spans="2:30" x14ac:dyDescent="0.2">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row>
    <row r="1378" spans="2:30" x14ac:dyDescent="0.2">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row>
    <row r="1379" spans="2:30" x14ac:dyDescent="0.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row>
    <row r="1380" spans="2:30" x14ac:dyDescent="0.2">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row>
    <row r="1381" spans="2:30" x14ac:dyDescent="0.2">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row>
    <row r="1382" spans="2:30" x14ac:dyDescent="0.2">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row>
    <row r="1383" spans="2:30" x14ac:dyDescent="0.2">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row>
    <row r="1384" spans="2:30" x14ac:dyDescent="0.2">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row>
    <row r="1385" spans="2:30" x14ac:dyDescent="0.2">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row>
    <row r="1386" spans="2:30" x14ac:dyDescent="0.2">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row>
    <row r="1387" spans="2:30" x14ac:dyDescent="0.2">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row>
    <row r="1388" spans="2:30" x14ac:dyDescent="0.2">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row>
    <row r="1389" spans="2:30" x14ac:dyDescent="0.2">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row>
    <row r="1390" spans="2:30" x14ac:dyDescent="0.2">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row>
    <row r="1391" spans="2:30" x14ac:dyDescent="0.2">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row>
    <row r="1392" spans="2:30" x14ac:dyDescent="0.2">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row>
    <row r="1393" spans="2:30" x14ac:dyDescent="0.2">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row>
    <row r="1394" spans="2:30" x14ac:dyDescent="0.2">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row>
    <row r="1395" spans="2:30" x14ac:dyDescent="0.2">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row>
    <row r="1396" spans="2:30" x14ac:dyDescent="0.2">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row>
    <row r="1397" spans="2:30" x14ac:dyDescent="0.2">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row>
    <row r="1398" spans="2:30" x14ac:dyDescent="0.2">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row>
    <row r="1399" spans="2:30" x14ac:dyDescent="0.2">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row>
    <row r="1400" spans="2:30" x14ac:dyDescent="0.2">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row>
    <row r="1401" spans="2:30" x14ac:dyDescent="0.2">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row>
    <row r="1402" spans="2:30" x14ac:dyDescent="0.2">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row>
    <row r="1403" spans="2:30" x14ac:dyDescent="0.2">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row>
    <row r="1404" spans="2:30" x14ac:dyDescent="0.2">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row>
    <row r="1405" spans="2:30" x14ac:dyDescent="0.2">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row>
    <row r="1406" spans="2:30" x14ac:dyDescent="0.2">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row>
    <row r="1407" spans="2:30" x14ac:dyDescent="0.2">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row>
    <row r="1408" spans="2:30" x14ac:dyDescent="0.2">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row>
    <row r="1409" spans="2:30" x14ac:dyDescent="0.2">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c r="AC1409" s="2"/>
      <c r="AD1409" s="2"/>
    </row>
    <row r="1410" spans="2:30" x14ac:dyDescent="0.2">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c r="AC1410" s="2"/>
      <c r="AD1410" s="2"/>
    </row>
    <row r="1411" spans="2:30" x14ac:dyDescent="0.2">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c r="AC1411" s="2"/>
      <c r="AD1411" s="2"/>
    </row>
    <row r="1412" spans="2:30" x14ac:dyDescent="0.2">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c r="AC1412" s="2"/>
      <c r="AD1412" s="2"/>
    </row>
    <row r="1413" spans="2:30" x14ac:dyDescent="0.2">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c r="AC1413" s="2"/>
      <c r="AD1413" s="2"/>
    </row>
    <row r="1414" spans="2:30" x14ac:dyDescent="0.2">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c r="AC1414" s="2"/>
      <c r="AD1414" s="2"/>
    </row>
    <row r="1415" spans="2:30" x14ac:dyDescent="0.2">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c r="AC1415" s="2"/>
      <c r="AD1415" s="2"/>
    </row>
    <row r="1416" spans="2:30" x14ac:dyDescent="0.2">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row>
    <row r="1417" spans="2:30" x14ac:dyDescent="0.2">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c r="AC1417" s="2"/>
      <c r="AD1417" s="2"/>
    </row>
    <row r="1418" spans="2:30" x14ac:dyDescent="0.2">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c r="AC1418" s="2"/>
      <c r="AD1418" s="2"/>
    </row>
    <row r="1419" spans="2:30" x14ac:dyDescent="0.2">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row>
    <row r="1420" spans="2:30" x14ac:dyDescent="0.2">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row>
    <row r="1421" spans="2:30" x14ac:dyDescent="0.2">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c r="AC1421" s="2"/>
      <c r="AD1421" s="2"/>
    </row>
    <row r="1422" spans="2:30" x14ac:dyDescent="0.2">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c r="AC1422" s="2"/>
      <c r="AD1422" s="2"/>
    </row>
    <row r="1423" spans="2:30" x14ac:dyDescent="0.2">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c r="AC1423" s="2"/>
      <c r="AD1423" s="2"/>
    </row>
    <row r="1424" spans="2:30" x14ac:dyDescent="0.2">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row>
    <row r="1425" spans="2:30" x14ac:dyDescent="0.2">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c r="AC1425" s="2"/>
      <c r="AD1425" s="2"/>
    </row>
    <row r="1426" spans="2:30" x14ac:dyDescent="0.2">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c r="AC1426" s="2"/>
      <c r="AD1426" s="2"/>
    </row>
    <row r="1427" spans="2:30" x14ac:dyDescent="0.2">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c r="AC1427" s="2"/>
      <c r="AD1427" s="2"/>
    </row>
    <row r="1428" spans="2:30" x14ac:dyDescent="0.2">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c r="AC1428" s="2"/>
      <c r="AD1428" s="2"/>
    </row>
    <row r="1429" spans="2:30" x14ac:dyDescent="0.2">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c r="AC1429" s="2"/>
      <c r="AD1429" s="2"/>
    </row>
    <row r="1430" spans="2:30" x14ac:dyDescent="0.2">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c r="AC1430" s="2"/>
      <c r="AD1430" s="2"/>
    </row>
    <row r="1431" spans="2:30" x14ac:dyDescent="0.2">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c r="AC1431" s="2"/>
      <c r="AD1431" s="2"/>
    </row>
    <row r="1432" spans="2:30" x14ac:dyDescent="0.2">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c r="AC1432" s="2"/>
      <c r="AD1432" s="2"/>
    </row>
    <row r="1433" spans="2:30" x14ac:dyDescent="0.2">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c r="AC1433" s="2"/>
      <c r="AD1433" s="2"/>
    </row>
    <row r="1434" spans="2:30" x14ac:dyDescent="0.2">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c r="AC1434" s="2"/>
      <c r="AD1434" s="2"/>
    </row>
    <row r="1435" spans="2:30" x14ac:dyDescent="0.2">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c r="AC1435" s="2"/>
      <c r="AD1435" s="2"/>
    </row>
    <row r="1436" spans="2:30" x14ac:dyDescent="0.2">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c r="AC1436" s="2"/>
      <c r="AD1436" s="2"/>
    </row>
    <row r="1437" spans="2:30" x14ac:dyDescent="0.2">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row>
    <row r="1438" spans="2:30" x14ac:dyDescent="0.2">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c r="AC1438" s="2"/>
      <c r="AD1438" s="2"/>
    </row>
    <row r="1439" spans="2:30" x14ac:dyDescent="0.2">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c r="AC1439" s="2"/>
      <c r="AD1439" s="2"/>
    </row>
    <row r="1440" spans="2:30" x14ac:dyDescent="0.2">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c r="AC1440" s="2"/>
      <c r="AD1440" s="2"/>
    </row>
    <row r="1441" spans="2:30" x14ac:dyDescent="0.2">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c r="AC1441" s="2"/>
      <c r="AD1441" s="2"/>
    </row>
    <row r="1442" spans="2:30" x14ac:dyDescent="0.2">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c r="AC1442" s="2"/>
      <c r="AD1442" s="2"/>
    </row>
    <row r="1443" spans="2:30" x14ac:dyDescent="0.2">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c r="AC1443" s="2"/>
      <c r="AD1443" s="2"/>
    </row>
    <row r="1444" spans="2:30" x14ac:dyDescent="0.2">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c r="AC1444" s="2"/>
      <c r="AD1444" s="2"/>
    </row>
    <row r="1445" spans="2:30" x14ac:dyDescent="0.2">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c r="AC1445" s="2"/>
      <c r="AD1445" s="2"/>
    </row>
    <row r="1446" spans="2:30" x14ac:dyDescent="0.2">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c r="AC1446" s="2"/>
      <c r="AD1446" s="2"/>
    </row>
    <row r="1447" spans="2:30" x14ac:dyDescent="0.2">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c r="AC1447" s="2"/>
      <c r="AD1447" s="2"/>
    </row>
    <row r="1448" spans="2:30" x14ac:dyDescent="0.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row>
    <row r="1449" spans="2:30" x14ac:dyDescent="0.2">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row>
    <row r="1450" spans="2:30" x14ac:dyDescent="0.2">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c r="AC1450" s="2"/>
      <c r="AD1450" s="2"/>
    </row>
    <row r="1451" spans="2:30" x14ac:dyDescent="0.2">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c r="AC1451" s="2"/>
      <c r="AD1451" s="2"/>
    </row>
    <row r="1452" spans="2:30" x14ac:dyDescent="0.2">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c r="AC1452" s="2"/>
      <c r="AD1452" s="2"/>
    </row>
    <row r="1453" spans="2:30" x14ac:dyDescent="0.2">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c r="AC1453" s="2"/>
      <c r="AD1453" s="2"/>
    </row>
    <row r="1454" spans="2:30" x14ac:dyDescent="0.2">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c r="AC1454" s="2"/>
      <c r="AD1454" s="2"/>
    </row>
    <row r="1455" spans="2:30" x14ac:dyDescent="0.2">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c r="AC1455" s="2"/>
      <c r="AD1455" s="2"/>
    </row>
    <row r="1456" spans="2:30" x14ac:dyDescent="0.2">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c r="AC1456" s="2"/>
      <c r="AD1456" s="2"/>
    </row>
    <row r="1457" spans="2:30" x14ac:dyDescent="0.2">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c r="AC1457" s="2"/>
      <c r="AD1457" s="2"/>
    </row>
    <row r="1458" spans="2:30" x14ac:dyDescent="0.2">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c r="AC1458" s="2"/>
      <c r="AD1458" s="2"/>
    </row>
    <row r="1459" spans="2:30" x14ac:dyDescent="0.2">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c r="AC1459" s="2"/>
      <c r="AD1459" s="2"/>
    </row>
    <row r="1460" spans="2:30" x14ac:dyDescent="0.2">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c r="AC1460" s="2"/>
      <c r="AD1460" s="2"/>
    </row>
    <row r="1461" spans="2:30" x14ac:dyDescent="0.2">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c r="AC1461" s="2"/>
      <c r="AD1461" s="2"/>
    </row>
    <row r="1462" spans="2:30" x14ac:dyDescent="0.2">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c r="AC1462" s="2"/>
      <c r="AD1462" s="2"/>
    </row>
    <row r="1463" spans="2:30" x14ac:dyDescent="0.2">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c r="AC1463" s="2"/>
      <c r="AD1463" s="2"/>
    </row>
    <row r="1464" spans="2:30" x14ac:dyDescent="0.2">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c r="AC1464" s="2"/>
      <c r="AD1464" s="2"/>
    </row>
    <row r="1465" spans="2:30" x14ac:dyDescent="0.2">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c r="AC1465" s="2"/>
      <c r="AD1465" s="2"/>
    </row>
    <row r="1466" spans="2:30" x14ac:dyDescent="0.2">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c r="AC1466" s="2"/>
      <c r="AD1466" s="2"/>
    </row>
    <row r="1467" spans="2:30" x14ac:dyDescent="0.2">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c r="AC1467" s="2"/>
      <c r="AD1467" s="2"/>
    </row>
    <row r="1468" spans="2:30" x14ac:dyDescent="0.2">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c r="AC1468" s="2"/>
      <c r="AD1468" s="2"/>
    </row>
    <row r="1469" spans="2:30" x14ac:dyDescent="0.2">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c r="AC1469" s="2"/>
      <c r="AD1469" s="2"/>
    </row>
    <row r="1470" spans="2:30" x14ac:dyDescent="0.2">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c r="AC1470" s="2"/>
      <c r="AD1470" s="2"/>
    </row>
    <row r="1471" spans="2:30" x14ac:dyDescent="0.2">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c r="AC1471" s="2"/>
      <c r="AD1471" s="2"/>
    </row>
    <row r="1472" spans="2:30" x14ac:dyDescent="0.2">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c r="AC1472" s="2"/>
      <c r="AD1472" s="2"/>
    </row>
    <row r="1473" spans="2:30" x14ac:dyDescent="0.2">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c r="AC1473" s="2"/>
      <c r="AD1473" s="2"/>
    </row>
    <row r="1474" spans="2:30" x14ac:dyDescent="0.2">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c r="AC1474" s="2"/>
      <c r="AD1474" s="2"/>
    </row>
    <row r="1475" spans="2:30" x14ac:dyDescent="0.2">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c r="AC1475" s="2"/>
      <c r="AD1475" s="2"/>
    </row>
    <row r="1476" spans="2:30" x14ac:dyDescent="0.2">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c r="AC1476" s="2"/>
      <c r="AD1476" s="2"/>
    </row>
    <row r="1477" spans="2:30" x14ac:dyDescent="0.2">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c r="AC1477" s="2"/>
      <c r="AD1477" s="2"/>
    </row>
    <row r="1478" spans="2:30" x14ac:dyDescent="0.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row>
    <row r="1479" spans="2:30" x14ac:dyDescent="0.2">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c r="AC1479" s="2"/>
      <c r="AD1479" s="2"/>
    </row>
    <row r="1480" spans="2:30" x14ac:dyDescent="0.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row>
    <row r="1481" spans="2:30" x14ac:dyDescent="0.2">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row>
    <row r="1482" spans="2:30" x14ac:dyDescent="0.2">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c r="AC1482" s="2"/>
      <c r="AD1482" s="2"/>
    </row>
    <row r="1483" spans="2:30" x14ac:dyDescent="0.2">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c r="AC1483" s="2"/>
      <c r="AD1483" s="2"/>
    </row>
    <row r="1484" spans="2:30" x14ac:dyDescent="0.2">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c r="AC1484" s="2"/>
      <c r="AD1484" s="2"/>
    </row>
    <row r="1485" spans="2:30" x14ac:dyDescent="0.2">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c r="AC1485" s="2"/>
      <c r="AD1485" s="2"/>
    </row>
    <row r="1486" spans="2:30" x14ac:dyDescent="0.2">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c r="AC1486" s="2"/>
      <c r="AD1486" s="2"/>
    </row>
    <row r="1487" spans="2:30" x14ac:dyDescent="0.2">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c r="AC1487" s="2"/>
      <c r="AD1487" s="2"/>
    </row>
    <row r="1488" spans="2:30" x14ac:dyDescent="0.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row>
    <row r="1489" spans="2:30" x14ac:dyDescent="0.2">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c r="AC1489" s="2"/>
      <c r="AD1489" s="2"/>
    </row>
    <row r="1490" spans="2:30" x14ac:dyDescent="0.2">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c r="AC1490" s="2"/>
      <c r="AD1490" s="2"/>
    </row>
    <row r="1491" spans="2:30" x14ac:dyDescent="0.2">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c r="AC1491" s="2"/>
      <c r="AD1491" s="2"/>
    </row>
    <row r="1492" spans="2:30" x14ac:dyDescent="0.2">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c r="AC1492" s="2"/>
      <c r="AD1492" s="2"/>
    </row>
    <row r="1493" spans="2:30" x14ac:dyDescent="0.2">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c r="AC1493" s="2"/>
      <c r="AD1493" s="2"/>
    </row>
    <row r="1494" spans="2:30" x14ac:dyDescent="0.2">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c r="AC1494" s="2"/>
      <c r="AD1494" s="2"/>
    </row>
    <row r="1495" spans="2:30" x14ac:dyDescent="0.2">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c r="AC1495" s="2"/>
      <c r="AD1495" s="2"/>
    </row>
    <row r="1496" spans="2:30" x14ac:dyDescent="0.2">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c r="AC1496" s="2"/>
      <c r="AD1496" s="2"/>
    </row>
    <row r="1497" spans="2:30" x14ac:dyDescent="0.2">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c r="AC1497" s="2"/>
      <c r="AD1497" s="2"/>
    </row>
    <row r="1498" spans="2:30" x14ac:dyDescent="0.2">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c r="AC1498" s="2"/>
      <c r="AD1498" s="2"/>
    </row>
    <row r="1499" spans="2:30" x14ac:dyDescent="0.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row>
    <row r="1500" spans="2:30" x14ac:dyDescent="0.2">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c r="AC1500" s="2"/>
      <c r="AD1500" s="2"/>
    </row>
    <row r="1501" spans="2:30" x14ac:dyDescent="0.2">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c r="AC1501" s="2"/>
      <c r="AD1501" s="2"/>
    </row>
    <row r="1502" spans="2:30" x14ac:dyDescent="0.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row>
    <row r="1503" spans="2:30" x14ac:dyDescent="0.2">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c r="AC1503" s="2"/>
      <c r="AD1503" s="2"/>
    </row>
    <row r="1504" spans="2:30" x14ac:dyDescent="0.2">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c r="AC1504" s="2"/>
      <c r="AD1504" s="2"/>
    </row>
    <row r="1505" spans="2:30" x14ac:dyDescent="0.2">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c r="AC1505" s="2"/>
      <c r="AD1505" s="2"/>
    </row>
    <row r="1506" spans="2:30" x14ac:dyDescent="0.2">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c r="AC1506" s="2"/>
      <c r="AD1506" s="2"/>
    </row>
    <row r="1507" spans="2:30" x14ac:dyDescent="0.2">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c r="AC1507" s="2"/>
      <c r="AD1507" s="2"/>
    </row>
    <row r="1508" spans="2:30" x14ac:dyDescent="0.2">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c r="AC1508" s="2"/>
      <c r="AD1508" s="2"/>
    </row>
    <row r="1509" spans="2:30" x14ac:dyDescent="0.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row>
    <row r="1510" spans="2:30" x14ac:dyDescent="0.2">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c r="AC1510" s="2"/>
      <c r="AD1510" s="2"/>
    </row>
    <row r="1511" spans="2:30" x14ac:dyDescent="0.2">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c r="AC1511" s="2"/>
      <c r="AD1511" s="2"/>
    </row>
    <row r="1512" spans="2:30" x14ac:dyDescent="0.2">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c r="AC1512" s="2"/>
      <c r="AD1512" s="2"/>
    </row>
    <row r="1513" spans="2:30" x14ac:dyDescent="0.2">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c r="AC1513" s="2"/>
      <c r="AD1513" s="2"/>
    </row>
    <row r="1514" spans="2:30" x14ac:dyDescent="0.2">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c r="AC1514" s="2"/>
      <c r="AD1514" s="2"/>
    </row>
    <row r="1515" spans="2:30" x14ac:dyDescent="0.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row>
    <row r="1516" spans="2:30" x14ac:dyDescent="0.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row>
    <row r="1517" spans="2:30" x14ac:dyDescent="0.2">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row>
    <row r="1518" spans="2:30" x14ac:dyDescent="0.2">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row>
    <row r="1519" spans="2:30" x14ac:dyDescent="0.2">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row>
    <row r="1520" spans="2:30" x14ac:dyDescent="0.2">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c r="AC1520" s="2"/>
      <c r="AD1520" s="2"/>
    </row>
    <row r="1521" spans="2:30" x14ac:dyDescent="0.2">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c r="AC1521" s="2"/>
      <c r="AD1521" s="2"/>
    </row>
    <row r="1522" spans="2:30" x14ac:dyDescent="0.2">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c r="AC1522" s="2"/>
      <c r="AD1522" s="2"/>
    </row>
    <row r="1523" spans="2:30" x14ac:dyDescent="0.2">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c r="AC1523" s="2"/>
      <c r="AD1523" s="2"/>
    </row>
    <row r="1524" spans="2:30" x14ac:dyDescent="0.2">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c r="AC1524" s="2"/>
      <c r="AD1524" s="2"/>
    </row>
    <row r="1525" spans="2:30" x14ac:dyDescent="0.2">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c r="AC1525" s="2"/>
      <c r="AD1525" s="2"/>
    </row>
    <row r="1526" spans="2:30" x14ac:dyDescent="0.2">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c r="AC1526" s="2"/>
      <c r="AD1526" s="2"/>
    </row>
    <row r="1527" spans="2:30" x14ac:dyDescent="0.2">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c r="AC1527" s="2"/>
      <c r="AD1527" s="2"/>
    </row>
    <row r="1528" spans="2:30" x14ac:dyDescent="0.2">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c r="AC1528" s="2"/>
      <c r="AD1528" s="2"/>
    </row>
    <row r="1529" spans="2:30" x14ac:dyDescent="0.2">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c r="AC1529" s="2"/>
      <c r="AD1529" s="2"/>
    </row>
    <row r="1530" spans="2:30" x14ac:dyDescent="0.2">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c r="AC1530" s="2"/>
      <c r="AD1530" s="2"/>
    </row>
    <row r="1531" spans="2:30" x14ac:dyDescent="0.2">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c r="AC1531" s="2"/>
      <c r="AD1531" s="2"/>
    </row>
    <row r="1532" spans="2:30" x14ac:dyDescent="0.2">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c r="AC1532" s="2"/>
      <c r="AD1532" s="2"/>
    </row>
    <row r="1533" spans="2:30" x14ac:dyDescent="0.2">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c r="AC1533" s="2"/>
      <c r="AD1533" s="2"/>
    </row>
    <row r="1534" spans="2:30" x14ac:dyDescent="0.2">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c r="AC1534" s="2"/>
      <c r="AD1534" s="2"/>
    </row>
    <row r="1535" spans="2:30" x14ac:dyDescent="0.2">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c r="AC1535" s="2"/>
      <c r="AD1535" s="2"/>
    </row>
    <row r="1536" spans="2:30" x14ac:dyDescent="0.2">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c r="AC1536" s="2"/>
      <c r="AD1536" s="2"/>
    </row>
    <row r="1537" spans="2:30" x14ac:dyDescent="0.2">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c r="AC1537" s="2"/>
      <c r="AD1537" s="2"/>
    </row>
    <row r="1538" spans="2:30" x14ac:dyDescent="0.2">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c r="AC1538" s="2"/>
      <c r="AD1538" s="2"/>
    </row>
    <row r="1539" spans="2:30" x14ac:dyDescent="0.2">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c r="AC1539" s="2"/>
      <c r="AD1539" s="2"/>
    </row>
    <row r="1540" spans="2:30" x14ac:dyDescent="0.2">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c r="AC1540" s="2"/>
      <c r="AD1540" s="2"/>
    </row>
    <row r="1541" spans="2:30" x14ac:dyDescent="0.2">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c r="AC1541" s="2"/>
      <c r="AD1541" s="2"/>
    </row>
    <row r="1542" spans="2:30" x14ac:dyDescent="0.2">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c r="AC1542" s="2"/>
      <c r="AD1542" s="2"/>
    </row>
    <row r="1543" spans="2:30" x14ac:dyDescent="0.2">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c r="AC1543" s="2"/>
      <c r="AD1543" s="2"/>
    </row>
    <row r="1544" spans="2:30" x14ac:dyDescent="0.2">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c r="AC1544" s="2"/>
      <c r="AD1544" s="2"/>
    </row>
    <row r="1545" spans="2:30" x14ac:dyDescent="0.2">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c r="AC1545" s="2"/>
      <c r="AD1545" s="2"/>
    </row>
    <row r="1546" spans="2:30" x14ac:dyDescent="0.2">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c r="AC1546" s="2"/>
      <c r="AD1546" s="2"/>
    </row>
    <row r="1547" spans="2:30" x14ac:dyDescent="0.2">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c r="AC1547" s="2"/>
      <c r="AD1547" s="2"/>
    </row>
    <row r="1548" spans="2:30" x14ac:dyDescent="0.2">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c r="AC1548" s="2"/>
      <c r="AD1548" s="2"/>
    </row>
    <row r="1549" spans="2:30" x14ac:dyDescent="0.2">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c r="AC1549" s="2"/>
      <c r="AD1549" s="2"/>
    </row>
    <row r="1550" spans="2:30" x14ac:dyDescent="0.2">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c r="AC1550" s="2"/>
      <c r="AD1550" s="2"/>
    </row>
    <row r="1551" spans="2:30" x14ac:dyDescent="0.2">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c r="AC1551" s="2"/>
      <c r="AD1551" s="2"/>
    </row>
    <row r="1552" spans="2:30" x14ac:dyDescent="0.2">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c r="AC1552" s="2"/>
      <c r="AD1552" s="2"/>
    </row>
    <row r="1553" spans="2:30" x14ac:dyDescent="0.2">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c r="AC1553" s="2"/>
      <c r="AD1553" s="2"/>
    </row>
    <row r="1554" spans="2:30" x14ac:dyDescent="0.2">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c r="AC1554" s="2"/>
      <c r="AD1554" s="2"/>
    </row>
    <row r="1555" spans="2:30" x14ac:dyDescent="0.2">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c r="AC1555" s="2"/>
      <c r="AD1555" s="2"/>
    </row>
    <row r="1556" spans="2:30" x14ac:dyDescent="0.2">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c r="AC1556" s="2"/>
      <c r="AD1556" s="2"/>
    </row>
    <row r="1557" spans="2:30" x14ac:dyDescent="0.2">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c r="AC1557" s="2"/>
      <c r="AD1557" s="2"/>
    </row>
    <row r="1558" spans="2:30" x14ac:dyDescent="0.2">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c r="AC1558" s="2"/>
      <c r="AD1558" s="2"/>
    </row>
    <row r="1559" spans="2:30" x14ac:dyDescent="0.2">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c r="AC1559" s="2"/>
      <c r="AD1559" s="2"/>
    </row>
    <row r="1560" spans="2:30" x14ac:dyDescent="0.2">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c r="AC1560" s="2"/>
      <c r="AD1560" s="2"/>
    </row>
    <row r="1561" spans="2:30" x14ac:dyDescent="0.2">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c r="AC1561" s="2"/>
      <c r="AD1561" s="2"/>
    </row>
    <row r="1562" spans="2:30" x14ac:dyDescent="0.2">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c r="AC1562" s="2"/>
      <c r="AD1562" s="2"/>
    </row>
    <row r="1563" spans="2:30" x14ac:dyDescent="0.2">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c r="AC1563" s="2"/>
      <c r="AD1563" s="2"/>
    </row>
    <row r="1564" spans="2:30" x14ac:dyDescent="0.2">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c r="AC1564" s="2"/>
      <c r="AD1564" s="2"/>
    </row>
    <row r="1565" spans="2:30" x14ac:dyDescent="0.2">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c r="AC1565" s="2"/>
      <c r="AD1565" s="2"/>
    </row>
    <row r="1566" spans="2:30" x14ac:dyDescent="0.2">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c r="AC1566" s="2"/>
      <c r="AD1566" s="2"/>
    </row>
    <row r="1567" spans="2:30" x14ac:dyDescent="0.2">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c r="AC1567" s="2"/>
      <c r="AD1567" s="2"/>
    </row>
    <row r="1568" spans="2:30" x14ac:dyDescent="0.2">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c r="AC1568" s="2"/>
      <c r="AD1568" s="2"/>
    </row>
    <row r="1569" spans="2:30" x14ac:dyDescent="0.2">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c r="AC1569" s="2"/>
      <c r="AD1569" s="2"/>
    </row>
    <row r="1570" spans="2:30" x14ac:dyDescent="0.2">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c r="AC1570" s="2"/>
      <c r="AD1570" s="2"/>
    </row>
    <row r="1571" spans="2:30" x14ac:dyDescent="0.2">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c r="AC1571" s="2"/>
      <c r="AD1571" s="2"/>
    </row>
    <row r="1572" spans="2:30" x14ac:dyDescent="0.2">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c r="AC1572" s="2"/>
      <c r="AD1572" s="2"/>
    </row>
    <row r="1573" spans="2:30" x14ac:dyDescent="0.2">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c r="AC1573" s="2"/>
      <c r="AD1573" s="2"/>
    </row>
    <row r="1574" spans="2:30" x14ac:dyDescent="0.2">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c r="AC1574" s="2"/>
      <c r="AD1574" s="2"/>
    </row>
    <row r="1575" spans="2:30" x14ac:dyDescent="0.2">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c r="AC1575" s="2"/>
      <c r="AD1575" s="2"/>
    </row>
    <row r="1576" spans="2:30" x14ac:dyDescent="0.2">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c r="AC1576" s="2"/>
      <c r="AD1576" s="2"/>
    </row>
    <row r="1577" spans="2:30" x14ac:dyDescent="0.2">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c r="AC1577" s="2"/>
      <c r="AD1577" s="2"/>
    </row>
    <row r="1578" spans="2:30" x14ac:dyDescent="0.2">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c r="AC1578" s="2"/>
      <c r="AD1578" s="2"/>
    </row>
    <row r="1579" spans="2:30" x14ac:dyDescent="0.2">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c r="AC1579" s="2"/>
      <c r="AD1579" s="2"/>
    </row>
    <row r="1580" spans="2:30" x14ac:dyDescent="0.2">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c r="AC1580" s="2"/>
      <c r="AD1580" s="2"/>
    </row>
    <row r="1581" spans="2:30" x14ac:dyDescent="0.2">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c r="AC1581" s="2"/>
      <c r="AD1581" s="2"/>
    </row>
    <row r="1582" spans="2:30" x14ac:dyDescent="0.2">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c r="AC1582" s="2"/>
      <c r="AD1582" s="2"/>
    </row>
    <row r="1583" spans="2:30" x14ac:dyDescent="0.2">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c r="AC1583" s="2"/>
      <c r="AD1583" s="2"/>
    </row>
    <row r="1584" spans="2:30" x14ac:dyDescent="0.2">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c r="AC1584" s="2"/>
      <c r="AD1584" s="2"/>
    </row>
    <row r="1585" spans="2:30" x14ac:dyDescent="0.2">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c r="AC1585" s="2"/>
      <c r="AD1585" s="2"/>
    </row>
    <row r="1586" spans="2:30" x14ac:dyDescent="0.2">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c r="AC1586" s="2"/>
      <c r="AD1586" s="2"/>
    </row>
    <row r="1587" spans="2:30" x14ac:dyDescent="0.2">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c r="AC1587" s="2"/>
      <c r="AD1587" s="2"/>
    </row>
    <row r="1588" spans="2:30" x14ac:dyDescent="0.2">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c r="AC1588" s="2"/>
      <c r="AD1588" s="2"/>
    </row>
    <row r="1589" spans="2:30" x14ac:dyDescent="0.2">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c r="AC1589" s="2"/>
      <c r="AD1589" s="2"/>
    </row>
    <row r="1590" spans="2:30" x14ac:dyDescent="0.2">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c r="AC1590" s="2"/>
      <c r="AD1590" s="2"/>
    </row>
    <row r="1591" spans="2:30" x14ac:dyDescent="0.2">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c r="AC1591" s="2"/>
      <c r="AD1591" s="2"/>
    </row>
    <row r="1592" spans="2:30" x14ac:dyDescent="0.2">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c r="AC1592" s="2"/>
      <c r="AD1592" s="2"/>
    </row>
    <row r="1593" spans="2:30" x14ac:dyDescent="0.2">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c r="AC1593" s="2"/>
      <c r="AD1593" s="2"/>
    </row>
    <row r="1594" spans="2:30" x14ac:dyDescent="0.2">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c r="AC1594" s="2"/>
      <c r="AD1594" s="2"/>
    </row>
    <row r="1595" spans="2:30" x14ac:dyDescent="0.2">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c r="AC1595" s="2"/>
      <c r="AD1595" s="2"/>
    </row>
    <row r="1596" spans="2:30" x14ac:dyDescent="0.2">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c r="AC1596" s="2"/>
      <c r="AD1596" s="2"/>
    </row>
    <row r="1597" spans="2:30" x14ac:dyDescent="0.2">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c r="AC1597" s="2"/>
      <c r="AD1597" s="2"/>
    </row>
    <row r="1598" spans="2:30" x14ac:dyDescent="0.2">
      <c r="B1598" s="2"/>
      <c r="C1598" s="2"/>
      <c r="D1598" s="2"/>
      <c r="E1598" s="2"/>
      <c r="F1598" s="2"/>
      <c r="G1598" s="2"/>
      <c r="H1598" s="2"/>
      <c r="I1598" s="2"/>
      <c r="J1598" s="2"/>
      <c r="K1598" s="2"/>
      <c r="L1598" s="2"/>
      <c r="M1598" s="2"/>
      <c r="N1598" s="2"/>
      <c r="O1598" s="2"/>
      <c r="P1598" s="2"/>
      <c r="Q1598" s="2"/>
      <c r="R1598" s="2"/>
      <c r="S1598" s="2"/>
      <c r="T1598" s="2"/>
      <c r="U1598" s="2"/>
      <c r="V1598" s="2"/>
      <c r="W1598" s="2"/>
      <c r="X1598" s="2"/>
      <c r="Y1598" s="2"/>
      <c r="Z1598" s="2"/>
      <c r="AA1598" s="2"/>
      <c r="AB1598" s="2"/>
      <c r="AC1598" s="2"/>
      <c r="AD1598" s="2"/>
    </row>
  </sheetData>
  <mergeCells count="3">
    <mergeCell ref="B8:M8"/>
    <mergeCell ref="B29:M29"/>
    <mergeCell ref="B48:M48"/>
  </mergeCells>
  <phoneticPr fontId="13" type="noConversion"/>
  <printOptions horizontalCentered="1"/>
  <pageMargins left="1" right="1" top="1" bottom="0.5" header="0.5" footer="0.5"/>
  <pageSetup scale="8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M38"/>
  <sheetViews>
    <sheetView workbookViewId="0">
      <selection activeCell="K27" sqref="K27"/>
    </sheetView>
  </sheetViews>
  <sheetFormatPr defaultColWidth="9.77734375" defaultRowHeight="15" x14ac:dyDescent="0.2"/>
  <cols>
    <col min="1" max="1" width="13.77734375" style="14" customWidth="1"/>
    <col min="2" max="2" width="11.21875" style="14" customWidth="1"/>
    <col min="3" max="3" width="3.5546875" style="14" customWidth="1"/>
    <col min="4" max="4" width="9.77734375" style="14" customWidth="1"/>
    <col min="5" max="5" width="3.5546875" style="14" customWidth="1"/>
    <col min="6" max="6" width="9.77734375" style="14" customWidth="1"/>
    <col min="7" max="7" width="3.5546875" style="14" customWidth="1"/>
    <col min="8" max="8" width="9.77734375" style="14" customWidth="1"/>
    <col min="9" max="9" width="3.5546875" style="14" customWidth="1"/>
    <col min="10" max="16384" width="9.77734375" style="14"/>
  </cols>
  <sheetData>
    <row r="1" spans="1:10" x14ac:dyDescent="0.2">
      <c r="A1" s="15" t="s">
        <v>7</v>
      </c>
      <c r="B1" s="13"/>
      <c r="C1" s="13"/>
      <c r="D1" s="13"/>
      <c r="E1" s="13"/>
      <c r="F1" s="13"/>
      <c r="G1" s="13"/>
      <c r="H1" s="13"/>
      <c r="I1" s="13"/>
      <c r="J1" s="13"/>
    </row>
    <row r="2" spans="1:10" x14ac:dyDescent="0.2">
      <c r="A2" s="15"/>
      <c r="B2" s="13"/>
      <c r="C2" s="13"/>
      <c r="D2" s="13"/>
      <c r="E2" s="13"/>
      <c r="F2" s="13"/>
      <c r="G2" s="13"/>
      <c r="H2" s="13"/>
      <c r="I2" s="13"/>
      <c r="J2" s="13"/>
    </row>
    <row r="3" spans="1:10" x14ac:dyDescent="0.2">
      <c r="A3" s="393" t="s">
        <v>170</v>
      </c>
      <c r="B3" s="440"/>
      <c r="C3" s="393"/>
      <c r="D3" s="393"/>
      <c r="E3" s="393"/>
      <c r="F3" s="393"/>
      <c r="G3" s="393"/>
      <c r="H3" s="393"/>
      <c r="I3" s="393"/>
      <c r="J3" s="393"/>
    </row>
    <row r="4" spans="1:10" x14ac:dyDescent="0.2">
      <c r="A4" s="394"/>
      <c r="B4" s="394"/>
      <c r="C4" s="394"/>
      <c r="D4" s="394"/>
      <c r="E4" s="394"/>
      <c r="F4" s="394"/>
      <c r="G4" s="394"/>
      <c r="H4" s="394"/>
      <c r="I4" s="394"/>
      <c r="J4" s="394"/>
    </row>
    <row r="5" spans="1:10" x14ac:dyDescent="0.2">
      <c r="A5" s="394" t="s">
        <v>155</v>
      </c>
      <c r="B5" s="394"/>
      <c r="C5" s="394"/>
      <c r="D5" s="394"/>
      <c r="E5" s="394"/>
      <c r="F5" s="394"/>
      <c r="G5" s="394"/>
      <c r="H5" s="394"/>
      <c r="I5" s="394"/>
      <c r="J5" s="394"/>
    </row>
    <row r="6" spans="1:10" x14ac:dyDescent="0.2">
      <c r="A6" s="394" t="s">
        <v>171</v>
      </c>
      <c r="B6" s="394"/>
      <c r="C6" s="394"/>
      <c r="D6" s="394"/>
      <c r="E6" s="394"/>
      <c r="F6" s="394"/>
      <c r="G6" s="394"/>
      <c r="H6" s="394"/>
      <c r="I6" s="394"/>
      <c r="J6" s="394"/>
    </row>
    <row r="7" spans="1:10" x14ac:dyDescent="0.2">
      <c r="A7" s="394"/>
      <c r="B7" s="394"/>
      <c r="C7" s="394"/>
      <c r="D7" s="394"/>
      <c r="E7" s="394"/>
      <c r="F7" s="394"/>
      <c r="G7" s="394"/>
      <c r="H7" s="394"/>
      <c r="I7" s="394"/>
      <c r="J7" s="394"/>
    </row>
    <row r="8" spans="1:10" x14ac:dyDescent="0.2">
      <c r="A8" s="394"/>
      <c r="B8" s="394"/>
      <c r="C8" s="394"/>
      <c r="D8" s="394"/>
      <c r="E8" s="394"/>
      <c r="F8" s="393" t="s">
        <v>172</v>
      </c>
      <c r="G8" s="393"/>
      <c r="H8" s="393"/>
      <c r="I8" s="393"/>
      <c r="J8" s="393"/>
    </row>
    <row r="9" spans="1:10" x14ac:dyDescent="0.2">
      <c r="A9" s="394"/>
      <c r="B9" s="394"/>
      <c r="C9" s="394"/>
      <c r="D9" s="395" t="s">
        <v>137</v>
      </c>
      <c r="E9" s="395"/>
      <c r="F9" s="396"/>
      <c r="G9" s="396"/>
      <c r="H9" s="396" t="s">
        <v>173</v>
      </c>
      <c r="I9" s="396"/>
      <c r="J9" s="396"/>
    </row>
    <row r="10" spans="1:10" x14ac:dyDescent="0.2">
      <c r="A10" s="393" t="s">
        <v>138</v>
      </c>
      <c r="B10" s="393"/>
      <c r="C10" s="394"/>
      <c r="D10" s="395" t="s">
        <v>139</v>
      </c>
      <c r="E10" s="395"/>
      <c r="F10" s="395"/>
      <c r="G10" s="395"/>
      <c r="H10" s="395" t="s">
        <v>415</v>
      </c>
      <c r="I10" s="395"/>
      <c r="J10" s="395" t="s">
        <v>140</v>
      </c>
    </row>
    <row r="11" spans="1:10" x14ac:dyDescent="0.2">
      <c r="A11" s="393" t="s">
        <v>141</v>
      </c>
      <c r="B11" s="393"/>
      <c r="C11" s="394"/>
      <c r="D11" s="395" t="s">
        <v>415</v>
      </c>
      <c r="E11" s="395"/>
      <c r="F11" s="395" t="s">
        <v>174</v>
      </c>
      <c r="G11" s="395"/>
      <c r="H11" s="395" t="s">
        <v>175</v>
      </c>
      <c r="I11" s="395"/>
      <c r="J11" s="395" t="s">
        <v>142</v>
      </c>
    </row>
    <row r="12" spans="1:10" x14ac:dyDescent="0.2">
      <c r="A12" s="397" t="s">
        <v>143</v>
      </c>
      <c r="B12" s="397"/>
      <c r="C12" s="394"/>
      <c r="D12" s="396" t="s">
        <v>163</v>
      </c>
      <c r="E12" s="394"/>
      <c r="F12" s="396" t="s">
        <v>145</v>
      </c>
      <c r="G12" s="394"/>
      <c r="H12" s="396" t="s">
        <v>176</v>
      </c>
      <c r="I12" s="394"/>
      <c r="J12" s="396" t="s">
        <v>177</v>
      </c>
    </row>
    <row r="13" spans="1:10" x14ac:dyDescent="0.2">
      <c r="A13" s="394"/>
      <c r="B13" s="394"/>
      <c r="C13" s="394"/>
      <c r="D13" s="394"/>
      <c r="E13" s="394"/>
      <c r="F13" s="394"/>
      <c r="G13" s="394"/>
      <c r="H13" s="394"/>
      <c r="I13" s="394"/>
      <c r="J13" s="394"/>
    </row>
    <row r="14" spans="1:10" x14ac:dyDescent="0.2">
      <c r="A14" s="394" t="s">
        <v>146</v>
      </c>
      <c r="B14" s="394"/>
      <c r="C14" s="394"/>
      <c r="D14" s="554">
        <f>'F 1-2'!$G$15</f>
        <v>15429</v>
      </c>
      <c r="E14" s="394"/>
      <c r="F14" s="555">
        <v>1</v>
      </c>
      <c r="G14" s="394"/>
      <c r="H14" s="554">
        <f>ROUND(+D14*F14,0)</f>
        <v>15429</v>
      </c>
      <c r="I14" s="394"/>
      <c r="J14" s="556">
        <f>ROUND(H14/H$20,4)</f>
        <v>0.52849999999999997</v>
      </c>
    </row>
    <row r="15" spans="1:10" x14ac:dyDescent="0.2">
      <c r="A15" s="394" t="s">
        <v>147</v>
      </c>
      <c r="B15" s="394"/>
      <c r="C15" s="394"/>
      <c r="D15" s="554">
        <f>'F 1-2'!$G$16</f>
        <v>10406</v>
      </c>
      <c r="E15" s="394"/>
      <c r="F15" s="555">
        <v>0.9</v>
      </c>
      <c r="G15" s="394"/>
      <c r="H15" s="554">
        <f>ROUND(+D15*F15,0)</f>
        <v>9365</v>
      </c>
      <c r="I15" s="394"/>
      <c r="J15" s="556">
        <f>ROUND(H15/H$20,4)</f>
        <v>0.32079999999999997</v>
      </c>
    </row>
    <row r="16" spans="1:10" x14ac:dyDescent="0.2">
      <c r="A16" s="394" t="s">
        <v>148</v>
      </c>
      <c r="B16" s="394"/>
      <c r="C16" s="394"/>
      <c r="D16" s="554">
        <f>'F 1-2'!$G$17</f>
        <v>1692</v>
      </c>
      <c r="E16" s="394"/>
      <c r="F16" s="555">
        <v>0.7</v>
      </c>
      <c r="G16" s="394"/>
      <c r="H16" s="554">
        <f>ROUND(+D16*F16,0)</f>
        <v>1184</v>
      </c>
      <c r="I16" s="394"/>
      <c r="J16" s="556">
        <f>ROUND(H16/H$20,4)</f>
        <v>4.0599999999999997E-2</v>
      </c>
    </row>
    <row r="17" spans="1:13" x14ac:dyDescent="0.2">
      <c r="A17" s="394" t="s">
        <v>150</v>
      </c>
      <c r="B17" s="394"/>
      <c r="C17" s="394"/>
      <c r="D17" s="554">
        <f>'F 1-2'!$G$18</f>
        <v>3194</v>
      </c>
      <c r="E17" s="394"/>
      <c r="F17" s="555">
        <v>0.75</v>
      </c>
      <c r="G17" s="394"/>
      <c r="H17" s="554">
        <f>ROUND(+D17*F17,0)</f>
        <v>2396</v>
      </c>
      <c r="I17" s="394"/>
      <c r="J17" s="556">
        <f>ROUND(H17/H$20,4)</f>
        <v>8.2100000000000006E-2</v>
      </c>
      <c r="L17" s="454"/>
      <c r="M17" s="454"/>
    </row>
    <row r="18" spans="1:13" x14ac:dyDescent="0.2">
      <c r="A18" s="394" t="s">
        <v>267</v>
      </c>
      <c r="B18" s="394"/>
      <c r="C18" s="394"/>
      <c r="D18" s="554">
        <f>'F 1-2'!$G$19</f>
        <v>1169</v>
      </c>
      <c r="E18" s="394"/>
      <c r="F18" s="555">
        <v>0.7</v>
      </c>
      <c r="G18" s="394"/>
      <c r="H18" s="554">
        <f>ROUND(+D18*F18,0)</f>
        <v>818</v>
      </c>
      <c r="I18" s="394"/>
      <c r="J18" s="556">
        <f>ROUND(H18/H$20,4)</f>
        <v>2.8000000000000001E-2</v>
      </c>
      <c r="L18" s="454"/>
      <c r="M18" s="454"/>
    </row>
    <row r="19" spans="1:13" x14ac:dyDescent="0.2">
      <c r="A19" s="394"/>
      <c r="B19" s="394"/>
      <c r="C19" s="394"/>
      <c r="D19" s="557"/>
      <c r="E19" s="394"/>
      <c r="F19" s="398"/>
      <c r="G19" s="394"/>
      <c r="H19" s="557"/>
      <c r="I19" s="394"/>
      <c r="J19" s="558"/>
      <c r="L19" s="454"/>
      <c r="M19" s="454"/>
    </row>
    <row r="20" spans="1:13" ht="15.75" thickBot="1" x14ac:dyDescent="0.25">
      <c r="A20" s="394" t="s">
        <v>154</v>
      </c>
      <c r="B20" s="394"/>
      <c r="C20" s="394"/>
      <c r="D20" s="554">
        <f>SUM(D14:D18)</f>
        <v>31890</v>
      </c>
      <c r="E20" s="394"/>
      <c r="F20" s="398"/>
      <c r="G20" s="394"/>
      <c r="H20" s="559">
        <f>SUM(H14:H18)</f>
        <v>29192</v>
      </c>
      <c r="I20" s="394"/>
      <c r="J20" s="556">
        <f>SUM(J14:J19)</f>
        <v>1</v>
      </c>
      <c r="L20" s="455"/>
      <c r="M20" s="456"/>
    </row>
    <row r="21" spans="1:13" ht="15.75" thickTop="1" x14ac:dyDescent="0.2">
      <c r="A21" s="394"/>
      <c r="B21" s="394"/>
      <c r="C21" s="394"/>
      <c r="D21" s="399"/>
      <c r="E21" s="394"/>
      <c r="F21" s="398"/>
      <c r="G21" s="394"/>
      <c r="H21" s="400"/>
      <c r="I21" s="394"/>
      <c r="J21" s="401"/>
      <c r="L21" s="454"/>
      <c r="M21" s="457"/>
    </row>
    <row r="22" spans="1:13" x14ac:dyDescent="0.2">
      <c r="A22" s="394"/>
      <c r="B22" s="394"/>
      <c r="C22" s="394"/>
      <c r="D22" s="402"/>
      <c r="E22" s="394"/>
      <c r="F22" s="394"/>
      <c r="G22" s="394"/>
      <c r="H22" s="398"/>
      <c r="I22" s="394"/>
      <c r="J22" s="394"/>
      <c r="L22" s="454"/>
      <c r="M22" s="454"/>
    </row>
    <row r="23" spans="1:13" ht="30.6" customHeight="1" x14ac:dyDescent="0.2">
      <c r="A23" s="710" t="s">
        <v>606</v>
      </c>
      <c r="B23" s="710"/>
      <c r="C23" s="710"/>
      <c r="D23" s="710"/>
      <c r="E23" s="710"/>
      <c r="F23" s="710"/>
      <c r="G23" s="710"/>
      <c r="H23" s="710"/>
      <c r="I23" s="710"/>
      <c r="J23" s="710"/>
      <c r="L23" s="454"/>
      <c r="M23" s="454"/>
    </row>
    <row r="24" spans="1:13" x14ac:dyDescent="0.2">
      <c r="A24" s="394"/>
      <c r="B24" s="394"/>
      <c r="C24" s="394"/>
      <c r="D24" s="394"/>
      <c r="E24" s="394"/>
      <c r="F24" s="394"/>
      <c r="G24" s="394"/>
      <c r="H24" s="394"/>
      <c r="I24" s="394"/>
      <c r="J24" s="394"/>
    </row>
    <row r="25" spans="1:13" x14ac:dyDescent="0.2">
      <c r="A25" s="394"/>
      <c r="B25" s="403"/>
      <c r="C25" s="403"/>
      <c r="D25" s="394"/>
      <c r="E25" s="394"/>
      <c r="F25" s="395" t="s">
        <v>178</v>
      </c>
      <c r="G25" s="395"/>
      <c r="H25" s="395"/>
      <c r="I25" s="394"/>
      <c r="J25" s="394"/>
    </row>
    <row r="26" spans="1:13" x14ac:dyDescent="0.2">
      <c r="A26" s="394"/>
      <c r="B26" s="403"/>
      <c r="C26" s="403"/>
      <c r="D26" s="394"/>
      <c r="E26" s="394"/>
      <c r="F26" s="395" t="s">
        <v>179</v>
      </c>
      <c r="G26" s="395"/>
      <c r="H26" s="395"/>
      <c r="I26" s="394"/>
      <c r="J26" s="394"/>
    </row>
    <row r="27" spans="1:13" x14ac:dyDescent="0.2">
      <c r="A27" s="394"/>
      <c r="B27" s="403"/>
      <c r="C27" s="403"/>
      <c r="D27" s="394"/>
      <c r="E27" s="394"/>
      <c r="F27" s="395" t="s">
        <v>180</v>
      </c>
      <c r="G27" s="395"/>
      <c r="H27" s="395" t="s">
        <v>181</v>
      </c>
      <c r="I27" s="394"/>
      <c r="J27" s="394"/>
    </row>
    <row r="28" spans="1:13" ht="10.15" customHeight="1" x14ac:dyDescent="0.2">
      <c r="A28" s="394"/>
      <c r="B28" s="403"/>
      <c r="C28" s="403"/>
      <c r="D28" s="394"/>
      <c r="E28" s="394"/>
      <c r="F28" s="404"/>
      <c r="G28" s="394"/>
      <c r="H28" s="404"/>
      <c r="I28" s="394"/>
      <c r="J28" s="394"/>
    </row>
    <row r="29" spans="1:13" x14ac:dyDescent="0.2">
      <c r="A29" s="394"/>
      <c r="B29" s="403"/>
      <c r="C29" s="403"/>
      <c r="D29" s="394" t="s">
        <v>182</v>
      </c>
      <c r="E29" s="403"/>
      <c r="F29" s="405">
        <v>1</v>
      </c>
      <c r="G29" s="394"/>
      <c r="H29" s="556">
        <f>ROUND(F29/F33,4)</f>
        <v>0.57140000000000002</v>
      </c>
      <c r="I29" s="394"/>
      <c r="J29" s="394"/>
    </row>
    <row r="30" spans="1:13" x14ac:dyDescent="0.2">
      <c r="A30" s="394"/>
      <c r="B30" s="403"/>
      <c r="C30" s="403"/>
      <c r="D30" s="394" t="s">
        <v>158</v>
      </c>
      <c r="E30" s="403"/>
      <c r="F30" s="405"/>
      <c r="G30" s="394"/>
      <c r="H30" s="394"/>
      <c r="I30" s="394"/>
      <c r="J30" s="394"/>
    </row>
    <row r="31" spans="1:13" x14ac:dyDescent="0.2">
      <c r="A31" s="394"/>
      <c r="B31" s="403"/>
      <c r="C31" s="403"/>
      <c r="D31" s="394" t="s">
        <v>120</v>
      </c>
      <c r="E31" s="403"/>
      <c r="F31" s="555">
        <v>0.75</v>
      </c>
      <c r="G31" s="394"/>
      <c r="H31" s="556">
        <f>ROUND(F31/F33,4)</f>
        <v>0.42859999999999998</v>
      </c>
      <c r="I31" s="394"/>
      <c r="J31" s="394"/>
    </row>
    <row r="32" spans="1:13" ht="10.9" customHeight="1" x14ac:dyDescent="0.2">
      <c r="A32" s="394"/>
      <c r="B32" s="403"/>
      <c r="C32" s="403"/>
      <c r="D32" s="394"/>
      <c r="E32" s="403"/>
      <c r="F32" s="560"/>
      <c r="G32" s="394"/>
      <c r="H32" s="404"/>
      <c r="I32" s="394"/>
      <c r="J32" s="394"/>
    </row>
    <row r="33" spans="1:10" ht="15.75" thickBot="1" x14ac:dyDescent="0.25">
      <c r="A33" s="394"/>
      <c r="B33" s="403"/>
      <c r="C33" s="403"/>
      <c r="D33" s="394" t="s">
        <v>184</v>
      </c>
      <c r="E33" s="403"/>
      <c r="F33" s="561">
        <f>SUM(F29:F32)</f>
        <v>1.75</v>
      </c>
      <c r="G33" s="394"/>
      <c r="H33" s="556">
        <f>SUM(H29:H32)</f>
        <v>1</v>
      </c>
      <c r="I33" s="394"/>
      <c r="J33" s="394"/>
    </row>
    <row r="34" spans="1:10" ht="15.75" thickTop="1" x14ac:dyDescent="0.2">
      <c r="A34" s="394"/>
      <c r="B34" s="403"/>
      <c r="C34" s="403"/>
      <c r="D34" s="394"/>
      <c r="E34" s="394"/>
      <c r="F34" s="406"/>
      <c r="G34" s="394"/>
      <c r="H34" s="407"/>
      <c r="I34" s="394"/>
      <c r="J34" s="394"/>
    </row>
    <row r="35" spans="1:10" x14ac:dyDescent="0.2">
      <c r="A35" s="394"/>
      <c r="B35" s="394"/>
      <c r="C35" s="394"/>
      <c r="D35" s="394"/>
      <c r="E35" s="405"/>
      <c r="F35" s="394"/>
      <c r="G35" s="394"/>
      <c r="H35" s="394"/>
      <c r="I35" s="394"/>
      <c r="J35" s="394"/>
    </row>
    <row r="36" spans="1:10" x14ac:dyDescent="0.2">
      <c r="A36" s="394"/>
      <c r="B36" s="394"/>
      <c r="C36" s="394"/>
      <c r="D36" s="394"/>
      <c r="E36" s="394"/>
      <c r="F36" s="394"/>
      <c r="G36" s="394"/>
      <c r="H36" s="394"/>
      <c r="I36" s="394"/>
      <c r="J36" s="394"/>
    </row>
    <row r="37" spans="1:10" x14ac:dyDescent="0.2">
      <c r="A37" s="404" t="s">
        <v>185</v>
      </c>
      <c r="B37" s="404"/>
      <c r="C37" s="394"/>
      <c r="D37" s="394"/>
      <c r="E37" s="394"/>
      <c r="F37" s="394"/>
      <c r="G37" s="394"/>
      <c r="H37" s="394"/>
      <c r="I37" s="394"/>
      <c r="J37" s="394"/>
    </row>
    <row r="38" spans="1:10" x14ac:dyDescent="0.2">
      <c r="A38" s="403"/>
      <c r="B38" s="403"/>
      <c r="C38" s="403"/>
      <c r="D38" s="403"/>
      <c r="E38" s="403"/>
      <c r="F38" s="403"/>
      <c r="G38" s="403"/>
      <c r="H38" s="403"/>
      <c r="I38" s="403"/>
      <c r="J38" s="403"/>
    </row>
  </sheetData>
  <mergeCells count="1">
    <mergeCell ref="A23:J23"/>
  </mergeCells>
  <phoneticPr fontId="13" type="noConversion"/>
  <printOptions horizontalCentered="1"/>
  <pageMargins left="0.75" right="1" top="1" bottom="0.5"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BO214"/>
  <sheetViews>
    <sheetView topLeftCell="A28" workbookViewId="0">
      <selection activeCell="V41" sqref="V41:W41"/>
    </sheetView>
  </sheetViews>
  <sheetFormatPr defaultColWidth="9.77734375" defaultRowHeight="15" x14ac:dyDescent="0.2"/>
  <cols>
    <col min="1" max="1" width="7.77734375" style="16" customWidth="1"/>
    <col min="2" max="2" width="7.88671875" style="16" customWidth="1"/>
    <col min="3" max="3" width="2.109375" style="16" customWidth="1"/>
    <col min="4" max="4" width="7.77734375" style="16" customWidth="1"/>
    <col min="5" max="5" width="2.109375" style="16" customWidth="1"/>
    <col min="6" max="6" width="7.77734375" style="16" customWidth="1"/>
    <col min="7" max="7" width="2.109375" style="16" customWidth="1"/>
    <col min="8" max="8" width="7.77734375" style="16" customWidth="1"/>
    <col min="9" max="9" width="2.109375" style="16" customWidth="1"/>
    <col min="10" max="10" width="7.77734375" style="16" customWidth="1"/>
    <col min="11" max="11" width="2.109375" style="16" customWidth="1"/>
    <col min="12" max="12" width="7.77734375" style="16" customWidth="1"/>
    <col min="13" max="13" width="2.109375" style="16" customWidth="1"/>
    <col min="14" max="14" width="7.77734375" style="16" customWidth="1"/>
    <col min="15" max="15" width="2.109375" style="16" customWidth="1"/>
    <col min="16" max="16" width="10.77734375" style="16" customWidth="1"/>
    <col min="17" max="17" width="2.109375" style="16" customWidth="1"/>
    <col min="18" max="18" width="11" style="16" customWidth="1"/>
    <col min="19" max="19" width="7.77734375" style="16" customWidth="1"/>
    <col min="20" max="20" width="3.77734375" style="16" customWidth="1"/>
    <col min="21" max="21" width="7.77734375" style="16" customWidth="1"/>
    <col min="22" max="22" width="2.77734375" style="16" customWidth="1"/>
    <col min="23" max="23" width="7.77734375" style="16" customWidth="1"/>
    <col min="24" max="24" width="2.77734375" style="16" customWidth="1"/>
    <col min="25" max="25" width="12.5546875" style="16" customWidth="1"/>
    <col min="26" max="26" width="2.77734375" style="16" customWidth="1"/>
    <col min="27" max="27" width="10.44140625" style="16" customWidth="1"/>
    <col min="28" max="28" width="2.77734375" style="16" customWidth="1"/>
    <col min="29" max="29" width="11" style="16" bestFit="1" customWidth="1"/>
    <col min="30" max="30" width="2.77734375" style="16" customWidth="1"/>
    <col min="31" max="31" width="13.5546875" style="16" bestFit="1" customWidth="1"/>
    <col min="32" max="32" width="2.77734375" style="16" customWidth="1"/>
    <col min="33" max="33" width="12.44140625" style="16" bestFit="1" customWidth="1"/>
    <col min="34" max="34" width="2.77734375" style="16" customWidth="1"/>
    <col min="35" max="35" width="12" style="16" bestFit="1" customWidth="1"/>
    <col min="36" max="38" width="9.77734375" style="16" customWidth="1"/>
    <col min="39" max="39" width="12.44140625" style="16" bestFit="1" customWidth="1"/>
    <col min="40" max="40" width="6.77734375" style="16" customWidth="1"/>
    <col min="41" max="41" width="4.77734375" style="16" customWidth="1"/>
    <col min="42" max="42" width="6.77734375" style="16" customWidth="1"/>
    <col min="43" max="43" width="9.77734375" style="16" customWidth="1"/>
    <col min="44" max="44" width="3.77734375" style="16" customWidth="1"/>
    <col min="45" max="45" width="6.77734375" style="16" customWidth="1"/>
    <col min="46" max="46" width="3.77734375" style="16" customWidth="1"/>
    <col min="47" max="47" width="8.77734375" style="16" customWidth="1"/>
    <col min="48" max="48" width="3.77734375" style="16" customWidth="1"/>
    <col min="49" max="49" width="7.77734375" style="16" customWidth="1"/>
    <col min="50" max="50" width="3.77734375" style="16" customWidth="1"/>
    <col min="51" max="51" width="9.77734375" style="16" customWidth="1"/>
    <col min="52" max="52" width="6.77734375" style="16" customWidth="1"/>
    <col min="53" max="53" width="2.77734375" style="16" customWidth="1"/>
    <col min="54" max="54" width="4.77734375" style="16" customWidth="1"/>
    <col min="55" max="55" width="2.77734375" style="16" customWidth="1"/>
    <col min="56" max="56" width="11.77734375" style="16" customWidth="1"/>
    <col min="57" max="57" width="3.77734375" style="16" customWidth="1"/>
    <col min="58" max="58" width="7.77734375" style="16" customWidth="1"/>
    <col min="59" max="59" width="3.77734375" style="16" customWidth="1"/>
    <col min="60" max="60" width="7.77734375" style="16" customWidth="1"/>
    <col min="61" max="61" width="3.77734375" style="16" customWidth="1"/>
    <col min="62" max="62" width="7.77734375" style="16" customWidth="1"/>
    <col min="63" max="63" width="3.77734375" style="16" customWidth="1"/>
    <col min="64" max="64" width="7.77734375" style="16" customWidth="1"/>
    <col min="65" max="16384" width="9.77734375" style="16"/>
  </cols>
  <sheetData>
    <row r="1" spans="1:18" x14ac:dyDescent="0.2">
      <c r="A1" s="15" t="s">
        <v>7</v>
      </c>
      <c r="B1" s="15"/>
      <c r="C1" s="15"/>
      <c r="D1" s="15"/>
      <c r="E1" s="15"/>
      <c r="F1" s="15"/>
      <c r="G1" s="15"/>
      <c r="H1" s="15"/>
      <c r="I1" s="15"/>
      <c r="J1" s="15"/>
      <c r="K1" s="15"/>
      <c r="L1" s="15"/>
      <c r="M1" s="15"/>
      <c r="N1" s="15"/>
      <c r="O1" s="15"/>
      <c r="P1" s="15"/>
    </row>
    <row r="2" spans="1:18" x14ac:dyDescent="0.2">
      <c r="A2" s="15"/>
      <c r="B2" s="15"/>
      <c r="C2" s="15"/>
      <c r="D2" s="15"/>
      <c r="E2" s="15"/>
      <c r="F2" s="15"/>
      <c r="G2" s="15"/>
      <c r="H2" s="15"/>
      <c r="I2" s="15"/>
      <c r="J2" s="15"/>
      <c r="K2" s="15"/>
      <c r="L2" s="15"/>
      <c r="M2" s="15"/>
      <c r="N2" s="15"/>
      <c r="O2" s="15"/>
      <c r="P2" s="15"/>
    </row>
    <row r="3" spans="1:18" x14ac:dyDescent="0.2">
      <c r="A3" s="293" t="s">
        <v>170</v>
      </c>
      <c r="B3" s="437"/>
      <c r="C3" s="293"/>
      <c r="D3" s="293"/>
      <c r="E3" s="293"/>
      <c r="F3" s="293"/>
      <c r="G3" s="293"/>
      <c r="H3" s="293"/>
      <c r="I3" s="293"/>
      <c r="J3" s="293"/>
      <c r="K3" s="293"/>
      <c r="L3" s="293"/>
      <c r="M3" s="293"/>
      <c r="N3" s="293"/>
      <c r="O3" s="293"/>
      <c r="P3" s="293"/>
      <c r="Q3" s="298"/>
      <c r="R3" s="298"/>
    </row>
    <row r="4" spans="1:18" x14ac:dyDescent="0.2">
      <c r="A4" s="298"/>
      <c r="B4" s="298"/>
      <c r="C4" s="298"/>
      <c r="D4" s="298"/>
      <c r="E4" s="298"/>
      <c r="F4" s="298"/>
      <c r="G4" s="298"/>
      <c r="H4" s="298"/>
      <c r="I4" s="298"/>
      <c r="J4" s="298"/>
      <c r="K4" s="298"/>
      <c r="L4" s="298"/>
      <c r="M4" s="298"/>
      <c r="N4" s="298"/>
      <c r="O4" s="298"/>
      <c r="P4" s="298"/>
      <c r="Q4" s="298"/>
      <c r="R4" s="298"/>
    </row>
    <row r="5" spans="1:18" x14ac:dyDescent="0.2">
      <c r="A5" s="294" t="s">
        <v>604</v>
      </c>
      <c r="B5" s="294"/>
      <c r="C5" s="294"/>
      <c r="D5" s="294"/>
      <c r="E5" s="294"/>
      <c r="F5" s="294"/>
      <c r="G5" s="294"/>
      <c r="H5" s="294"/>
      <c r="I5" s="294"/>
      <c r="J5" s="294"/>
      <c r="K5" s="294"/>
      <c r="L5" s="294"/>
      <c r="M5" s="294"/>
      <c r="N5" s="294"/>
      <c r="O5" s="294"/>
      <c r="P5" s="294"/>
      <c r="Q5" s="294"/>
      <c r="R5" s="294"/>
    </row>
    <row r="6" spans="1:18" x14ac:dyDescent="0.2">
      <c r="A6" s="294" t="s">
        <v>605</v>
      </c>
      <c r="B6" s="294"/>
      <c r="C6" s="294"/>
      <c r="D6" s="294"/>
      <c r="E6" s="294"/>
      <c r="F6" s="294"/>
      <c r="G6" s="294"/>
      <c r="H6" s="294"/>
      <c r="I6" s="294"/>
      <c r="J6" s="294"/>
      <c r="K6" s="294"/>
      <c r="L6" s="294"/>
      <c r="M6" s="294"/>
      <c r="N6" s="294"/>
      <c r="O6" s="294"/>
      <c r="P6" s="294"/>
      <c r="Q6" s="294"/>
      <c r="R6" s="294"/>
    </row>
    <row r="7" spans="1:18" x14ac:dyDescent="0.2">
      <c r="A7" s="294"/>
      <c r="B7" s="294"/>
      <c r="C7" s="294"/>
      <c r="D7" s="294"/>
      <c r="E7" s="294"/>
      <c r="F7" s="294"/>
      <c r="G7" s="294"/>
      <c r="H7" s="294"/>
      <c r="I7" s="294"/>
      <c r="J7" s="294"/>
      <c r="K7" s="294"/>
      <c r="L7" s="294"/>
      <c r="M7" s="294"/>
      <c r="N7" s="294"/>
      <c r="O7" s="294"/>
      <c r="P7" s="294"/>
      <c r="Q7" s="294"/>
      <c r="R7" s="294"/>
    </row>
    <row r="8" spans="1:18" ht="29.85" customHeight="1" x14ac:dyDescent="0.2">
      <c r="A8" s="708" t="s">
        <v>186</v>
      </c>
      <c r="B8" s="708"/>
      <c r="C8" s="708"/>
      <c r="D8" s="708"/>
      <c r="E8" s="708"/>
      <c r="F8" s="708"/>
      <c r="G8" s="708"/>
      <c r="H8" s="708"/>
      <c r="I8" s="708"/>
      <c r="J8" s="708"/>
      <c r="K8" s="708"/>
      <c r="L8" s="708"/>
      <c r="M8" s="708"/>
      <c r="N8" s="708"/>
      <c r="O8" s="708"/>
      <c r="P8" s="708"/>
      <c r="Q8" s="294"/>
      <c r="R8" s="294"/>
    </row>
    <row r="9" spans="1:18" x14ac:dyDescent="0.2">
      <c r="A9" s="294"/>
      <c r="B9" s="294"/>
      <c r="C9" s="294"/>
      <c r="D9" s="294"/>
      <c r="E9" s="294"/>
      <c r="F9" s="294"/>
      <c r="G9" s="294"/>
      <c r="H9" s="294"/>
      <c r="I9" s="294"/>
      <c r="J9" s="294"/>
      <c r="K9" s="294"/>
      <c r="L9" s="294"/>
      <c r="M9" s="294"/>
      <c r="N9" s="294"/>
      <c r="O9" s="294"/>
      <c r="P9" s="294"/>
      <c r="Q9" s="294"/>
      <c r="R9" s="294"/>
    </row>
    <row r="10" spans="1:18" x14ac:dyDescent="0.2">
      <c r="A10" s="294"/>
      <c r="B10" s="294"/>
      <c r="C10" s="294"/>
      <c r="D10" s="293" t="s">
        <v>137</v>
      </c>
      <c r="E10" s="293"/>
      <c r="F10" s="293"/>
      <c r="G10" s="294"/>
      <c r="H10" s="293" t="s">
        <v>158</v>
      </c>
      <c r="I10" s="293"/>
      <c r="J10" s="293"/>
      <c r="K10" s="294"/>
      <c r="L10" s="294"/>
      <c r="M10" s="294"/>
      <c r="N10" s="294"/>
      <c r="O10" s="294"/>
      <c r="P10" s="294"/>
      <c r="Q10" s="294"/>
      <c r="R10" s="294"/>
    </row>
    <row r="11" spans="1:18" x14ac:dyDescent="0.2">
      <c r="A11" s="294"/>
      <c r="B11" s="294"/>
      <c r="C11" s="294"/>
      <c r="D11" s="293" t="s">
        <v>159</v>
      </c>
      <c r="E11" s="293"/>
      <c r="F11" s="293"/>
      <c r="G11" s="294"/>
      <c r="H11" s="293" t="s">
        <v>160</v>
      </c>
      <c r="I11" s="293"/>
      <c r="J11" s="293"/>
      <c r="K11" s="294"/>
      <c r="L11" s="293" t="s">
        <v>187</v>
      </c>
      <c r="M11" s="293"/>
      <c r="N11" s="293"/>
      <c r="O11" s="294"/>
      <c r="P11" s="294"/>
      <c r="Q11" s="294"/>
      <c r="R11" s="294"/>
    </row>
    <row r="12" spans="1:18" x14ac:dyDescent="0.2">
      <c r="A12" s="293" t="s">
        <v>188</v>
      </c>
      <c r="B12" s="293"/>
      <c r="C12" s="294"/>
      <c r="D12" s="297" t="s">
        <v>140</v>
      </c>
      <c r="E12" s="297"/>
      <c r="F12" s="297" t="s">
        <v>161</v>
      </c>
      <c r="G12" s="341"/>
      <c r="H12" s="297" t="s">
        <v>140</v>
      </c>
      <c r="I12" s="297"/>
      <c r="J12" s="297" t="s">
        <v>161</v>
      </c>
      <c r="K12" s="341"/>
      <c r="L12" s="297" t="s">
        <v>140</v>
      </c>
      <c r="M12" s="297"/>
      <c r="N12" s="297" t="s">
        <v>161</v>
      </c>
      <c r="O12" s="341"/>
      <c r="P12" s="341" t="s">
        <v>140</v>
      </c>
      <c r="Q12" s="341"/>
      <c r="R12" s="298"/>
    </row>
    <row r="13" spans="1:18" x14ac:dyDescent="0.2">
      <c r="A13" s="293" t="s">
        <v>141</v>
      </c>
      <c r="B13" s="293"/>
      <c r="C13" s="294"/>
      <c r="D13" s="341" t="s">
        <v>142</v>
      </c>
      <c r="E13" s="341"/>
      <c r="F13" s="341" t="s">
        <v>142</v>
      </c>
      <c r="G13" s="341"/>
      <c r="H13" s="341" t="s">
        <v>142</v>
      </c>
      <c r="I13" s="341"/>
      <c r="J13" s="341" t="s">
        <v>142</v>
      </c>
      <c r="K13" s="341"/>
      <c r="L13" s="341" t="s">
        <v>142</v>
      </c>
      <c r="M13" s="341"/>
      <c r="N13" s="341" t="s">
        <v>142</v>
      </c>
      <c r="O13" s="341"/>
      <c r="P13" s="341" t="s">
        <v>142</v>
      </c>
      <c r="Q13" s="341"/>
      <c r="R13" s="298"/>
    </row>
    <row r="14" spans="1:18" x14ac:dyDescent="0.2">
      <c r="A14" s="296" t="s">
        <v>143</v>
      </c>
      <c r="B14" s="296"/>
      <c r="C14" s="294"/>
      <c r="D14" s="297" t="s">
        <v>163</v>
      </c>
      <c r="E14" s="294"/>
      <c r="F14" s="384" t="s">
        <v>189</v>
      </c>
      <c r="G14" s="294"/>
      <c r="H14" s="297" t="s">
        <v>165</v>
      </c>
      <c r="I14" s="294"/>
      <c r="J14" s="384" t="s">
        <v>190</v>
      </c>
      <c r="K14" s="294"/>
      <c r="L14" s="297" t="s">
        <v>191</v>
      </c>
      <c r="M14" s="294"/>
      <c r="N14" s="384" t="s">
        <v>192</v>
      </c>
      <c r="O14" s="294"/>
      <c r="P14" s="297" t="s">
        <v>193</v>
      </c>
      <c r="Q14" s="294"/>
      <c r="R14" s="298"/>
    </row>
    <row r="15" spans="1:18" x14ac:dyDescent="0.2">
      <c r="A15" s="298"/>
      <c r="B15" s="298"/>
      <c r="C15" s="298"/>
      <c r="D15" s="385"/>
      <c r="E15" s="385"/>
      <c r="F15" s="385">
        <f>'F 3B 4B'!$I$13</f>
        <v>0.52680000000000005</v>
      </c>
      <c r="G15" s="385"/>
      <c r="H15" s="385"/>
      <c r="I15" s="385"/>
      <c r="J15" s="385">
        <f>'F 3B 4B'!$I$15</f>
        <v>0.39510000000000001</v>
      </c>
      <c r="K15" s="385"/>
      <c r="L15" s="385"/>
      <c r="M15" s="385"/>
      <c r="N15" s="385">
        <f>'F 3B 4B'!$I$19</f>
        <v>7.8100000000000003E-2</v>
      </c>
      <c r="O15" s="385"/>
      <c r="P15" s="385"/>
      <c r="Q15" s="298"/>
      <c r="R15" s="298"/>
    </row>
    <row r="16" spans="1:18" x14ac:dyDescent="0.2">
      <c r="A16" s="298"/>
      <c r="B16" s="298"/>
      <c r="C16" s="298"/>
      <c r="D16" s="385"/>
      <c r="E16" s="385"/>
      <c r="F16" s="385"/>
      <c r="G16" s="385"/>
      <c r="H16" s="385"/>
      <c r="I16" s="385"/>
      <c r="J16" s="385"/>
      <c r="K16" s="385"/>
      <c r="L16" s="385"/>
      <c r="M16" s="385"/>
      <c r="N16" s="385"/>
      <c r="O16" s="385"/>
      <c r="P16" s="385"/>
      <c r="Q16" s="298"/>
      <c r="R16" s="298"/>
    </row>
    <row r="17" spans="1:67" x14ac:dyDescent="0.2">
      <c r="A17" s="294" t="s">
        <v>146</v>
      </c>
      <c r="B17" s="298"/>
      <c r="C17" s="298"/>
      <c r="D17" s="385">
        <f>'F 1-2'!$K$15</f>
        <v>0.48080000000000001</v>
      </c>
      <c r="E17" s="385"/>
      <c r="F17" s="385">
        <f>ROUND($F$15*D17,4)</f>
        <v>0.25330000000000003</v>
      </c>
      <c r="G17" s="385"/>
      <c r="H17" s="385">
        <f>'F 2 B'!$J$14</f>
        <v>0.52849999999999997</v>
      </c>
      <c r="I17" s="385"/>
      <c r="J17" s="385">
        <f>ROUND($J$15*H17,4)+0.0001</f>
        <v>0.2089</v>
      </c>
      <c r="K17" s="385"/>
      <c r="L17" s="385"/>
      <c r="M17" s="385"/>
      <c r="N17" s="385"/>
      <c r="O17" s="385"/>
      <c r="P17" s="385">
        <f t="shared" ref="P17:P23" si="0">N17+J17+F17</f>
        <v>0.46220000000000006</v>
      </c>
      <c r="Q17" s="298"/>
      <c r="R17" s="298"/>
    </row>
    <row r="18" spans="1:67" x14ac:dyDescent="0.2">
      <c r="A18" s="294" t="s">
        <v>147</v>
      </c>
      <c r="B18" s="298"/>
      <c r="C18" s="298"/>
      <c r="D18" s="385">
        <f>'F 1-2'!$K$16</f>
        <v>0.32429999999999998</v>
      </c>
      <c r="E18" s="385"/>
      <c r="F18" s="385">
        <f t="shared" ref="F18:F23" si="1">ROUND($F$15*D18,4)</f>
        <v>0.17080000000000001</v>
      </c>
      <c r="G18" s="385"/>
      <c r="H18" s="385">
        <f>'F 2 B'!$J$15</f>
        <v>0.32079999999999997</v>
      </c>
      <c r="I18" s="385"/>
      <c r="J18" s="385">
        <f>ROUND($J$15*H18,4)</f>
        <v>0.12670000000000001</v>
      </c>
      <c r="K18" s="385"/>
      <c r="L18" s="385"/>
      <c r="M18" s="385"/>
      <c r="N18" s="385"/>
      <c r="O18" s="385"/>
      <c r="P18" s="385">
        <f t="shared" si="0"/>
        <v>0.29749999999999999</v>
      </c>
      <c r="Q18" s="298"/>
      <c r="R18" s="298"/>
    </row>
    <row r="19" spans="1:67" x14ac:dyDescent="0.2">
      <c r="A19" s="294" t="s">
        <v>148</v>
      </c>
      <c r="B19" s="298"/>
      <c r="C19" s="298"/>
      <c r="D19" s="385">
        <f>'F 1-2'!$K$17</f>
        <v>5.2699999999999997E-2</v>
      </c>
      <c r="E19" s="385"/>
      <c r="F19" s="385">
        <f>ROUND($F$15*D19,4)</f>
        <v>2.7799999999999998E-2</v>
      </c>
      <c r="G19" s="385"/>
      <c r="H19" s="385">
        <f>'F 2 B'!$J$16</f>
        <v>4.0599999999999997E-2</v>
      </c>
      <c r="I19" s="385"/>
      <c r="J19" s="385">
        <f>ROUND($J$15*H19,4)</f>
        <v>1.6E-2</v>
      </c>
      <c r="K19" s="385"/>
      <c r="L19" s="385"/>
      <c r="M19" s="385"/>
      <c r="N19" s="385"/>
      <c r="O19" s="385"/>
      <c r="P19" s="385">
        <f t="shared" si="0"/>
        <v>4.3799999999999999E-2</v>
      </c>
      <c r="Q19" s="298"/>
      <c r="R19" s="298"/>
    </row>
    <row r="20" spans="1:67" x14ac:dyDescent="0.2">
      <c r="A20" s="294" t="s">
        <v>150</v>
      </c>
      <c r="B20" s="298"/>
      <c r="C20" s="298"/>
      <c r="D20" s="385">
        <f>'F 1-2'!$K$18</f>
        <v>9.9500000000000005E-2</v>
      </c>
      <c r="E20" s="385"/>
      <c r="F20" s="386">
        <f t="shared" si="1"/>
        <v>5.2400000000000002E-2</v>
      </c>
      <c r="G20" s="385"/>
      <c r="H20" s="385">
        <f>'F 2 B'!$J$17</f>
        <v>8.2100000000000006E-2</v>
      </c>
      <c r="I20" s="385"/>
      <c r="J20" s="385">
        <f>ROUND($J$15*H20,4)</f>
        <v>3.2399999999999998E-2</v>
      </c>
      <c r="K20" s="385"/>
      <c r="L20" s="385"/>
      <c r="M20" s="385"/>
      <c r="N20" s="385"/>
      <c r="O20" s="385"/>
      <c r="P20" s="385">
        <f t="shared" si="0"/>
        <v>8.48E-2</v>
      </c>
      <c r="Q20" s="298"/>
      <c r="R20" s="298"/>
    </row>
    <row r="21" spans="1:67" x14ac:dyDescent="0.2">
      <c r="A21" s="294" t="s">
        <v>267</v>
      </c>
      <c r="B21" s="298"/>
      <c r="C21" s="298"/>
      <c r="D21" s="385">
        <f>'F 1-2'!$K$19</f>
        <v>3.6400000000000002E-2</v>
      </c>
      <c r="E21" s="385"/>
      <c r="F21" s="385">
        <f>ROUND($F$15*D21,4)</f>
        <v>1.9199999999999998E-2</v>
      </c>
      <c r="G21" s="385"/>
      <c r="H21" s="385">
        <f>'F 2 B'!$J$18</f>
        <v>2.8000000000000001E-2</v>
      </c>
      <c r="I21" s="385"/>
      <c r="J21" s="385">
        <f>ROUND($J$15*H21,4)</f>
        <v>1.11E-2</v>
      </c>
      <c r="K21" s="385"/>
      <c r="L21" s="385"/>
      <c r="M21" s="385"/>
      <c r="N21" s="385"/>
      <c r="O21" s="385"/>
      <c r="P21" s="385">
        <f t="shared" si="0"/>
        <v>3.0300000000000001E-2</v>
      </c>
      <c r="Q21" s="298"/>
      <c r="R21" s="298"/>
    </row>
    <row r="22" spans="1:67" x14ac:dyDescent="0.2">
      <c r="A22" s="294" t="s">
        <v>152</v>
      </c>
      <c r="B22" s="298"/>
      <c r="C22" s="298"/>
      <c r="D22" s="385">
        <f>'F 1-2'!$K$20</f>
        <v>3.0999999999999999E-3</v>
      </c>
      <c r="E22" s="385"/>
      <c r="F22" s="385">
        <f t="shared" si="1"/>
        <v>1.6000000000000001E-3</v>
      </c>
      <c r="G22" s="385"/>
      <c r="H22" s="385"/>
      <c r="I22" s="385"/>
      <c r="J22" s="385"/>
      <c r="K22" s="385"/>
      <c r="L22" s="385">
        <f>'Sch E Fire'!$O$26</f>
        <v>0.48309999999999997</v>
      </c>
      <c r="M22" s="385"/>
      <c r="N22" s="385">
        <f>ROUND($N$15*L22,4)</f>
        <v>3.7699999999999997E-2</v>
      </c>
      <c r="O22" s="385"/>
      <c r="P22" s="385">
        <f t="shared" si="0"/>
        <v>3.9299999999999995E-2</v>
      </c>
      <c r="Q22" s="298"/>
      <c r="R22" s="298"/>
    </row>
    <row r="23" spans="1:67" x14ac:dyDescent="0.2">
      <c r="A23" s="294" t="s">
        <v>153</v>
      </c>
      <c r="B23" s="298"/>
      <c r="C23" s="298"/>
      <c r="D23" s="385">
        <f>'F 1-2'!$K$21</f>
        <v>3.2000000000000002E-3</v>
      </c>
      <c r="E23" s="385"/>
      <c r="F23" s="385">
        <f t="shared" si="1"/>
        <v>1.6999999999999999E-3</v>
      </c>
      <c r="G23" s="385"/>
      <c r="H23" s="385"/>
      <c r="I23" s="385"/>
      <c r="J23" s="385"/>
      <c r="K23" s="385"/>
      <c r="L23" s="385">
        <f>'Sch E Fire'!$O$33</f>
        <v>0.51690000000000003</v>
      </c>
      <c r="M23" s="385"/>
      <c r="N23" s="385">
        <f>ROUND($N$15*L23,4)</f>
        <v>4.0399999999999998E-2</v>
      </c>
      <c r="O23" s="385"/>
      <c r="P23" s="385">
        <f t="shared" si="0"/>
        <v>4.2099999999999999E-2</v>
      </c>
      <c r="Q23" s="298"/>
      <c r="R23" s="298"/>
    </row>
    <row r="24" spans="1:67" x14ac:dyDescent="0.2">
      <c r="A24" s="294"/>
      <c r="B24" s="298"/>
      <c r="C24" s="298"/>
      <c r="D24" s="387"/>
      <c r="E24" s="385"/>
      <c r="F24" s="387"/>
      <c r="G24" s="385"/>
      <c r="H24" s="387"/>
      <c r="I24" s="385"/>
      <c r="J24" s="387"/>
      <c r="K24" s="385"/>
      <c r="L24" s="387"/>
      <c r="M24" s="385"/>
      <c r="N24" s="387"/>
      <c r="O24" s="385"/>
      <c r="P24" s="387"/>
      <c r="Q24" s="298"/>
      <c r="R24" s="298"/>
    </row>
    <row r="25" spans="1:67" x14ac:dyDescent="0.2">
      <c r="A25" s="294" t="s">
        <v>154</v>
      </c>
      <c r="B25" s="298"/>
      <c r="C25" s="298"/>
      <c r="D25" s="385">
        <f>SUM(D17:D23)</f>
        <v>0.99999999999999989</v>
      </c>
      <c r="E25" s="385"/>
      <c r="F25" s="385">
        <f>SUM(F17:F23)</f>
        <v>0.52680000000000005</v>
      </c>
      <c r="G25" s="385"/>
      <c r="H25" s="385">
        <f>SUM(H17:H23)</f>
        <v>1</v>
      </c>
      <c r="I25" s="385"/>
      <c r="J25" s="385">
        <f>SUM(J17:J23)</f>
        <v>0.39510000000000001</v>
      </c>
      <c r="K25" s="385"/>
      <c r="L25" s="385">
        <f>SUM(L17:L23)</f>
        <v>1</v>
      </c>
      <c r="M25" s="385"/>
      <c r="N25" s="385">
        <f>SUM(N17:N23)</f>
        <v>7.8100000000000003E-2</v>
      </c>
      <c r="O25" s="385"/>
      <c r="P25" s="385">
        <f>SUM(P17:P23)</f>
        <v>1</v>
      </c>
      <c r="Q25" s="298"/>
      <c r="R25" s="298"/>
    </row>
    <row r="26" spans="1:67" x14ac:dyDescent="0.2">
      <c r="A26" s="298"/>
      <c r="B26" s="298"/>
      <c r="C26" s="298"/>
      <c r="D26" s="388"/>
      <c r="E26" s="385"/>
      <c r="F26" s="388"/>
      <c r="G26" s="385"/>
      <c r="H26" s="388"/>
      <c r="I26" s="385"/>
      <c r="J26" s="388"/>
      <c r="K26" s="385"/>
      <c r="L26" s="388"/>
      <c r="M26" s="385"/>
      <c r="N26" s="388"/>
      <c r="O26" s="385"/>
      <c r="P26" s="388"/>
      <c r="Q26" s="298"/>
      <c r="R26" s="298"/>
    </row>
    <row r="27" spans="1:67" x14ac:dyDescent="0.2">
      <c r="A27" s="298"/>
      <c r="B27" s="298"/>
      <c r="C27" s="298"/>
      <c r="D27" s="298"/>
      <c r="E27" s="298"/>
      <c r="F27" s="298"/>
      <c r="G27" s="298"/>
      <c r="H27" s="298"/>
      <c r="I27" s="298"/>
      <c r="J27" s="298"/>
      <c r="K27" s="298"/>
      <c r="L27" s="298"/>
      <c r="M27" s="298"/>
      <c r="N27" s="298"/>
      <c r="O27" s="298"/>
      <c r="P27" s="298"/>
      <c r="Q27" s="298"/>
      <c r="R27" s="298"/>
    </row>
    <row r="28" spans="1:67" x14ac:dyDescent="0.2">
      <c r="A28" s="298"/>
      <c r="B28" s="298"/>
      <c r="C28" s="298"/>
      <c r="D28" s="298"/>
      <c r="E28" s="298"/>
      <c r="F28" s="298"/>
      <c r="G28" s="298"/>
      <c r="H28" s="298"/>
      <c r="I28" s="298"/>
      <c r="J28" s="298"/>
      <c r="K28" s="298"/>
      <c r="L28" s="298"/>
      <c r="M28" s="298"/>
      <c r="N28" s="298"/>
      <c r="O28" s="298"/>
      <c r="P28" s="298"/>
      <c r="Q28" s="298"/>
      <c r="R28" s="298"/>
    </row>
    <row r="29" spans="1:67" x14ac:dyDescent="0.2">
      <c r="A29" s="15" t="s">
        <v>7</v>
      </c>
      <c r="B29" s="293"/>
      <c r="C29" s="293"/>
      <c r="D29" s="293"/>
      <c r="E29" s="293"/>
      <c r="F29" s="293"/>
      <c r="G29" s="293"/>
      <c r="H29" s="293"/>
      <c r="I29" s="293"/>
      <c r="J29" s="293"/>
      <c r="K29" s="293"/>
      <c r="L29" s="293"/>
      <c r="M29" s="293"/>
      <c r="N29" s="293"/>
      <c r="O29" s="293"/>
      <c r="P29" s="293"/>
      <c r="Q29" s="293"/>
      <c r="R29" s="293"/>
      <c r="S29" s="2"/>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row>
    <row r="30" spans="1:67" x14ac:dyDescent="0.2">
      <c r="A30" s="293"/>
      <c r="B30" s="293"/>
      <c r="C30" s="293"/>
      <c r="D30" s="293"/>
      <c r="E30" s="293"/>
      <c r="F30" s="293"/>
      <c r="G30" s="293"/>
      <c r="H30" s="293"/>
      <c r="I30" s="293"/>
      <c r="J30" s="293"/>
      <c r="K30" s="293"/>
      <c r="L30" s="293"/>
      <c r="M30" s="293"/>
      <c r="N30" s="293"/>
      <c r="O30" s="293"/>
      <c r="P30" s="293"/>
      <c r="Q30" s="293"/>
      <c r="R30" s="293"/>
      <c r="S30" s="2"/>
    </row>
    <row r="31" spans="1:67" x14ac:dyDescent="0.2">
      <c r="A31" s="293" t="s">
        <v>170</v>
      </c>
      <c r="B31" s="293"/>
      <c r="C31" s="293"/>
      <c r="D31" s="293"/>
      <c r="E31" s="293"/>
      <c r="F31" s="293"/>
      <c r="G31" s="293"/>
      <c r="H31" s="293"/>
      <c r="I31" s="293"/>
      <c r="J31" s="293"/>
      <c r="K31" s="293"/>
      <c r="L31" s="293"/>
      <c r="M31" s="293"/>
      <c r="N31" s="293"/>
      <c r="O31" s="293"/>
      <c r="P31" s="293"/>
      <c r="Q31" s="293"/>
      <c r="R31" s="293"/>
      <c r="S31" s="2"/>
    </row>
    <row r="32" spans="1:67" x14ac:dyDescent="0.2">
      <c r="A32" s="294"/>
      <c r="B32" s="294"/>
      <c r="C32" s="294"/>
      <c r="D32" s="294"/>
      <c r="E32" s="294"/>
      <c r="F32" s="294"/>
      <c r="G32" s="294"/>
      <c r="H32" s="294"/>
      <c r="I32" s="294"/>
      <c r="J32" s="294"/>
      <c r="K32" s="294"/>
      <c r="L32" s="294"/>
      <c r="M32" s="294"/>
      <c r="N32" s="294"/>
      <c r="O32" s="294"/>
      <c r="P32" s="294"/>
      <c r="Q32" s="294"/>
      <c r="R32" s="294"/>
      <c r="S32" s="2"/>
    </row>
    <row r="33" spans="1:43" x14ac:dyDescent="0.2">
      <c r="A33" s="294" t="s">
        <v>622</v>
      </c>
      <c r="B33" s="294"/>
      <c r="C33" s="294"/>
      <c r="D33" s="294"/>
      <c r="E33" s="294"/>
      <c r="F33" s="294"/>
      <c r="G33" s="294"/>
      <c r="H33" s="294"/>
      <c r="I33" s="294"/>
      <c r="J33" s="294"/>
      <c r="K33" s="294"/>
      <c r="L33" s="294"/>
      <c r="M33" s="294"/>
      <c r="N33" s="294"/>
      <c r="O33" s="294"/>
      <c r="P33" s="294"/>
      <c r="Q33" s="294"/>
      <c r="R33" s="294"/>
      <c r="S33" s="2"/>
    </row>
    <row r="34" spans="1:43" x14ac:dyDescent="0.2">
      <c r="A34" s="294" t="s">
        <v>623</v>
      </c>
      <c r="B34" s="294"/>
      <c r="C34" s="294"/>
      <c r="D34" s="294"/>
      <c r="E34" s="294"/>
      <c r="F34" s="294"/>
      <c r="G34" s="294"/>
      <c r="H34" s="294"/>
      <c r="I34" s="294"/>
      <c r="J34" s="294"/>
      <c r="K34" s="294"/>
      <c r="L34" s="294"/>
      <c r="M34" s="294"/>
      <c r="N34" s="294"/>
      <c r="O34" s="294"/>
      <c r="P34" s="294"/>
      <c r="Q34" s="294"/>
      <c r="R34" s="294"/>
      <c r="S34" s="2"/>
      <c r="T34" s="2"/>
      <c r="U34" s="2"/>
      <c r="V34" s="2"/>
      <c r="W34" s="2"/>
      <c r="X34" s="2"/>
      <c r="Y34" s="2"/>
      <c r="Z34" s="2"/>
      <c r="AA34" s="2"/>
      <c r="AB34" s="2"/>
      <c r="AC34" s="2"/>
      <c r="AD34" s="2"/>
      <c r="AE34" s="2"/>
      <c r="AF34" s="2"/>
      <c r="AG34" s="2"/>
      <c r="AH34" s="2"/>
      <c r="AI34" s="2"/>
      <c r="AJ34" s="2"/>
    </row>
    <row r="35" spans="1:43" x14ac:dyDescent="0.2">
      <c r="A35" s="294"/>
      <c r="B35" s="294"/>
      <c r="C35" s="294"/>
      <c r="D35" s="294"/>
      <c r="E35" s="294"/>
      <c r="F35" s="294"/>
      <c r="G35" s="294"/>
      <c r="H35" s="294"/>
      <c r="I35" s="294"/>
      <c r="J35" s="294"/>
      <c r="K35" s="294"/>
      <c r="L35" s="294"/>
      <c r="M35" s="294"/>
      <c r="N35" s="294"/>
      <c r="O35" s="294"/>
      <c r="P35" s="294"/>
      <c r="Q35" s="294"/>
      <c r="R35" s="294"/>
      <c r="S35" s="2"/>
      <c r="T35" s="2"/>
      <c r="U35" s="2"/>
      <c r="V35" s="2"/>
      <c r="W35" s="2"/>
      <c r="X35" s="2"/>
      <c r="Y35" s="2"/>
      <c r="Z35" s="2"/>
      <c r="AA35" s="2"/>
      <c r="AB35" s="2"/>
      <c r="AC35" s="2"/>
      <c r="AD35" s="2"/>
      <c r="AE35" s="2"/>
      <c r="AF35" s="2"/>
      <c r="AG35" s="2"/>
      <c r="AH35" s="2"/>
      <c r="AI35" s="2"/>
      <c r="AJ35" s="2"/>
    </row>
    <row r="36" spans="1:43" ht="29.45" customHeight="1" x14ac:dyDescent="0.2">
      <c r="A36" s="708" t="s">
        <v>186</v>
      </c>
      <c r="B36" s="708"/>
      <c r="C36" s="708"/>
      <c r="D36" s="708"/>
      <c r="E36" s="708"/>
      <c r="F36" s="708"/>
      <c r="G36" s="708"/>
      <c r="H36" s="708"/>
      <c r="I36" s="708"/>
      <c r="J36" s="708"/>
      <c r="K36" s="708"/>
      <c r="L36" s="708"/>
      <c r="M36" s="708"/>
      <c r="N36" s="708"/>
      <c r="O36" s="708"/>
      <c r="P36" s="708"/>
      <c r="Q36" s="708"/>
      <c r="R36" s="708"/>
      <c r="S36" s="2"/>
    </row>
    <row r="37" spans="1:43" x14ac:dyDescent="0.2">
      <c r="A37" s="294"/>
      <c r="B37" s="294"/>
      <c r="C37" s="294"/>
      <c r="D37" s="294"/>
      <c r="E37" s="294"/>
      <c r="F37" s="294"/>
      <c r="G37" s="294"/>
      <c r="H37" s="294"/>
      <c r="I37" s="294"/>
      <c r="J37" s="294"/>
      <c r="K37" s="294"/>
      <c r="L37" s="294"/>
      <c r="M37" s="294"/>
      <c r="N37" s="294"/>
      <c r="O37" s="294"/>
      <c r="P37" s="294"/>
      <c r="Q37" s="294"/>
      <c r="R37" s="294"/>
      <c r="S37" s="2"/>
    </row>
    <row r="38" spans="1:43" x14ac:dyDescent="0.2">
      <c r="A38" s="294"/>
      <c r="B38" s="294"/>
      <c r="C38" s="294"/>
      <c r="D38" s="294"/>
      <c r="E38" s="294"/>
      <c r="F38" s="294"/>
      <c r="G38" s="294"/>
      <c r="H38" s="294"/>
      <c r="I38" s="294"/>
      <c r="J38" s="293" t="s">
        <v>194</v>
      </c>
      <c r="K38" s="293"/>
      <c r="L38" s="293"/>
      <c r="M38" s="294"/>
      <c r="N38" s="294"/>
      <c r="O38" s="294"/>
      <c r="P38" s="294"/>
      <c r="Q38" s="294"/>
      <c r="R38" s="294"/>
      <c r="S38" s="2"/>
    </row>
    <row r="39" spans="1:43" x14ac:dyDescent="0.2">
      <c r="A39" s="294"/>
      <c r="B39" s="294"/>
      <c r="C39" s="294"/>
      <c r="D39" s="293" t="s">
        <v>195</v>
      </c>
      <c r="E39" s="293"/>
      <c r="F39" s="293"/>
      <c r="G39" s="293"/>
      <c r="H39" s="293"/>
      <c r="I39" s="294"/>
      <c r="J39" s="293" t="s">
        <v>160</v>
      </c>
      <c r="K39" s="293"/>
      <c r="L39" s="293"/>
      <c r="M39" s="294"/>
      <c r="N39" s="293" t="s">
        <v>187</v>
      </c>
      <c r="O39" s="293"/>
      <c r="P39" s="293"/>
      <c r="Q39" s="294"/>
      <c r="R39" s="294"/>
      <c r="S39" s="2"/>
    </row>
    <row r="40" spans="1:43" x14ac:dyDescent="0.2">
      <c r="A40" s="293" t="s">
        <v>188</v>
      </c>
      <c r="B40" s="293"/>
      <c r="C40" s="294"/>
      <c r="D40" s="297" t="s">
        <v>416</v>
      </c>
      <c r="E40" s="297"/>
      <c r="F40" s="297" t="s">
        <v>140</v>
      </c>
      <c r="G40" s="297"/>
      <c r="H40" s="297" t="s">
        <v>161</v>
      </c>
      <c r="I40" s="541"/>
      <c r="J40" s="297" t="s">
        <v>140</v>
      </c>
      <c r="K40" s="297"/>
      <c r="L40" s="297" t="s">
        <v>161</v>
      </c>
      <c r="M40" s="541"/>
      <c r="N40" s="297" t="s">
        <v>140</v>
      </c>
      <c r="O40" s="297"/>
      <c r="P40" s="297" t="s">
        <v>161</v>
      </c>
      <c r="Q40" s="541"/>
      <c r="R40" s="541" t="s">
        <v>140</v>
      </c>
      <c r="S40" s="2"/>
    </row>
    <row r="41" spans="1:43" x14ac:dyDescent="0.2">
      <c r="A41" s="293" t="s">
        <v>141</v>
      </c>
      <c r="B41" s="293"/>
      <c r="C41" s="294"/>
      <c r="D41" s="541" t="s">
        <v>307</v>
      </c>
      <c r="E41" s="541"/>
      <c r="F41" s="541" t="s">
        <v>142</v>
      </c>
      <c r="G41" s="541"/>
      <c r="H41" s="541" t="s">
        <v>142</v>
      </c>
      <c r="I41" s="541"/>
      <c r="J41" s="541" t="s">
        <v>142</v>
      </c>
      <c r="K41" s="541"/>
      <c r="L41" s="541" t="s">
        <v>142</v>
      </c>
      <c r="M41" s="541"/>
      <c r="N41" s="541" t="s">
        <v>142</v>
      </c>
      <c r="O41" s="541"/>
      <c r="P41" s="541" t="s">
        <v>142</v>
      </c>
      <c r="Q41" s="541"/>
      <c r="R41" s="541" t="s">
        <v>142</v>
      </c>
      <c r="S41" s="2"/>
    </row>
    <row r="42" spans="1:43" x14ac:dyDescent="0.2">
      <c r="A42" s="296" t="s">
        <v>143</v>
      </c>
      <c r="B42" s="296"/>
      <c r="C42" s="294"/>
      <c r="D42" s="297" t="s">
        <v>163</v>
      </c>
      <c r="E42" s="294"/>
      <c r="F42" s="297" t="s">
        <v>145</v>
      </c>
      <c r="G42" s="294"/>
      <c r="H42" s="384" t="s">
        <v>196</v>
      </c>
      <c r="I42" s="294"/>
      <c r="J42" s="297" t="s">
        <v>177</v>
      </c>
      <c r="K42" s="294"/>
      <c r="L42" s="384" t="s">
        <v>197</v>
      </c>
      <c r="M42" s="294"/>
      <c r="N42" s="297" t="s">
        <v>198</v>
      </c>
      <c r="O42" s="294"/>
      <c r="P42" s="384" t="s">
        <v>199</v>
      </c>
      <c r="Q42" s="294"/>
      <c r="R42" s="297" t="s">
        <v>200</v>
      </c>
      <c r="S42" s="2"/>
    </row>
    <row r="43" spans="1:43" x14ac:dyDescent="0.2">
      <c r="A43" s="294"/>
      <c r="B43" s="294"/>
      <c r="C43" s="294"/>
      <c r="D43" s="294"/>
      <c r="E43" s="294"/>
      <c r="F43" s="294"/>
      <c r="G43" s="294"/>
      <c r="H43" s="300">
        <f>'F 3B 4B'!$I$40</f>
        <v>0.35020000000000001</v>
      </c>
      <c r="I43" s="300"/>
      <c r="J43" s="300"/>
      <c r="K43" s="300"/>
      <c r="L43" s="300">
        <f>'F 3B 4B'!$I$42</f>
        <v>0.5252</v>
      </c>
      <c r="M43" s="300"/>
      <c r="N43" s="300"/>
      <c r="O43" s="300"/>
      <c r="P43" s="300">
        <f>'F 3B 4B'!$I$46</f>
        <v>0.1246</v>
      </c>
      <c r="Q43" s="294"/>
      <c r="R43" s="389"/>
      <c r="S43" s="2"/>
    </row>
    <row r="44" spans="1:43" x14ac:dyDescent="0.2">
      <c r="A44" s="294"/>
      <c r="B44" s="294"/>
      <c r="C44" s="294"/>
      <c r="D44" s="294"/>
      <c r="E44" s="294"/>
      <c r="F44" s="294"/>
      <c r="G44" s="294"/>
      <c r="H44" s="294"/>
      <c r="I44" s="294"/>
      <c r="J44" s="294"/>
      <c r="K44" s="294"/>
      <c r="L44" s="294"/>
      <c r="M44" s="294"/>
      <c r="N44" s="294"/>
      <c r="O44" s="294"/>
      <c r="P44" s="294"/>
      <c r="Q44" s="294"/>
      <c r="R44" s="294"/>
      <c r="S44" s="2"/>
    </row>
    <row r="45" spans="1:43" x14ac:dyDescent="0.2">
      <c r="A45" s="294" t="s">
        <v>146</v>
      </c>
      <c r="B45" s="294"/>
      <c r="C45" s="294"/>
      <c r="D45" s="562">
        <f>ROUND(('F 1-2'!$G$15/24),1)</f>
        <v>642.9</v>
      </c>
      <c r="E45" s="294"/>
      <c r="F45" s="300">
        <f>ROUND(+D45/$D$53,4)</f>
        <v>0.52529999999999999</v>
      </c>
      <c r="G45" s="294"/>
      <c r="H45" s="300">
        <f>ROUND(F45*$H$43,4)</f>
        <v>0.184</v>
      </c>
      <c r="I45" s="294"/>
      <c r="J45" s="300">
        <f>'F 3B 4B'!$K$58</f>
        <v>0.56679999999999997</v>
      </c>
      <c r="K45" s="294"/>
      <c r="L45" s="300">
        <f>ROUND(J45*$L$43,4)</f>
        <v>0.29770000000000002</v>
      </c>
      <c r="M45" s="294"/>
      <c r="N45" s="300"/>
      <c r="O45" s="294"/>
      <c r="P45" s="300"/>
      <c r="Q45" s="294"/>
      <c r="R45" s="300">
        <f t="shared" ref="R45:R51" si="2">H45+L45+P45</f>
        <v>0.48170000000000002</v>
      </c>
      <c r="S45" s="2"/>
      <c r="W45" s="188"/>
      <c r="X45" s="188"/>
      <c r="Y45" s="188"/>
      <c r="Z45" s="188"/>
      <c r="AA45" s="188"/>
      <c r="AB45" s="188"/>
      <c r="AC45" s="188" t="s">
        <v>691</v>
      </c>
      <c r="AD45" s="188"/>
      <c r="AE45" s="188"/>
      <c r="AF45" s="188"/>
      <c r="AG45" s="172"/>
      <c r="AH45" s="188"/>
      <c r="AI45" s="188"/>
      <c r="AJ45" s="188"/>
      <c r="AK45" s="188"/>
      <c r="AL45" s="188"/>
      <c r="AM45" s="188"/>
      <c r="AN45" s="188"/>
      <c r="AO45" s="188"/>
      <c r="AP45" s="188"/>
      <c r="AQ45" s="188"/>
    </row>
    <row r="46" spans="1:43" x14ac:dyDescent="0.2">
      <c r="A46" s="294" t="s">
        <v>147</v>
      </c>
      <c r="B46" s="294"/>
      <c r="C46" s="294"/>
      <c r="D46" s="562">
        <f>ROUND(('F 1-2'!$G$16/24),1)</f>
        <v>433.6</v>
      </c>
      <c r="E46" s="294"/>
      <c r="F46" s="300">
        <f>ROUND(+D46/$D$53,4)</f>
        <v>0.3543</v>
      </c>
      <c r="G46" s="294"/>
      <c r="H46" s="300">
        <f t="shared" ref="H46:H51" si="3">ROUND(F46*$H$43,4)</f>
        <v>0.1241</v>
      </c>
      <c r="I46" s="294"/>
      <c r="J46" s="300">
        <f>'F 3B 4B'!$K$59</f>
        <v>0.36220000000000002</v>
      </c>
      <c r="K46" s="294"/>
      <c r="L46" s="300">
        <f>ROUND(J46*$L$43,4)</f>
        <v>0.19020000000000001</v>
      </c>
      <c r="M46" s="294"/>
      <c r="N46" s="294"/>
      <c r="O46" s="294"/>
      <c r="P46" s="294"/>
      <c r="Q46" s="294"/>
      <c r="R46" s="300">
        <f t="shared" si="2"/>
        <v>0.31430000000000002</v>
      </c>
      <c r="S46" s="2"/>
      <c r="U46" s="161"/>
      <c r="V46" s="161"/>
      <c r="W46" s="189"/>
      <c r="X46" s="189"/>
      <c r="Y46" s="190"/>
      <c r="Z46" s="190"/>
      <c r="AA46" s="190"/>
      <c r="AB46" s="188"/>
      <c r="AC46" s="661">
        <v>566632.41442000004</v>
      </c>
      <c r="AD46" s="189"/>
      <c r="AE46" s="191"/>
      <c r="AF46" s="188"/>
      <c r="AG46" s="172"/>
      <c r="AH46" s="188"/>
      <c r="AI46" s="172"/>
      <c r="AJ46" s="188"/>
      <c r="AK46" s="188"/>
      <c r="AL46" s="192"/>
      <c r="AM46" s="193"/>
      <c r="AN46" s="188"/>
      <c r="AO46" s="188"/>
      <c r="AP46" s="188"/>
      <c r="AQ46" s="188"/>
    </row>
    <row r="47" spans="1:43" s="158" customFormat="1" ht="15.75" x14ac:dyDescent="0.25">
      <c r="A47" s="294" t="s">
        <v>148</v>
      </c>
      <c r="B47" s="294"/>
      <c r="C47" s="294"/>
      <c r="D47" s="562">
        <f>ROUND(('F 1-2'!$G$17)/24,1)-AC47</f>
        <v>5.7999999999999972</v>
      </c>
      <c r="E47" s="294"/>
      <c r="F47" s="300">
        <f t="shared" ref="F47:F51" si="4">ROUND(+D47/$D$53,4)</f>
        <v>4.7000000000000002E-3</v>
      </c>
      <c r="G47" s="294"/>
      <c r="H47" s="300">
        <f t="shared" si="3"/>
        <v>1.6000000000000001E-3</v>
      </c>
      <c r="I47" s="294"/>
      <c r="J47" s="300">
        <f>'F 3B 4B'!$K$60</f>
        <v>3.0999999999999999E-3</v>
      </c>
      <c r="K47" s="294"/>
      <c r="L47" s="300">
        <f>ROUND(J47*$L$43,4)</f>
        <v>1.6000000000000001E-3</v>
      </c>
      <c r="M47" s="294"/>
      <c r="N47" s="294"/>
      <c r="O47" s="294"/>
      <c r="P47" s="294"/>
      <c r="Q47" s="294"/>
      <c r="R47" s="300">
        <f t="shared" si="2"/>
        <v>3.2000000000000002E-3</v>
      </c>
      <c r="S47" s="52"/>
      <c r="T47" s="165"/>
      <c r="U47" s="261" t="s">
        <v>689</v>
      </c>
      <c r="V47" s="161"/>
      <c r="W47" s="189"/>
      <c r="X47" s="189"/>
      <c r="Y47" s="189"/>
      <c r="Z47" s="189"/>
      <c r="AA47" s="189"/>
      <c r="AB47" s="194"/>
      <c r="AC47" s="191">
        <f>ROUND(+AC46/365/24,1)</f>
        <v>64.7</v>
      </c>
      <c r="AD47" s="189"/>
      <c r="AE47" s="191"/>
      <c r="AF47" s="194"/>
      <c r="AG47" s="172"/>
      <c r="AH47" s="188"/>
      <c r="AI47" s="172"/>
      <c r="AJ47" s="188"/>
      <c r="AK47" s="194"/>
      <c r="AL47" s="195"/>
      <c r="AM47" s="195"/>
      <c r="AN47" s="194"/>
      <c r="AO47" s="194"/>
      <c r="AP47" s="194"/>
      <c r="AQ47" s="194"/>
    </row>
    <row r="48" spans="1:43" x14ac:dyDescent="0.2">
      <c r="A48" s="294" t="s">
        <v>150</v>
      </c>
      <c r="B48" s="294"/>
      <c r="C48" s="294"/>
      <c r="D48" s="562">
        <f>ROUND(('F 1-2'!$G$18/24),1)</f>
        <v>133.1</v>
      </c>
      <c r="E48" s="294"/>
      <c r="F48" s="300">
        <f t="shared" si="4"/>
        <v>0.10879999999999999</v>
      </c>
      <c r="G48" s="294"/>
      <c r="H48" s="300">
        <f t="shared" si="3"/>
        <v>3.8100000000000002E-2</v>
      </c>
      <c r="I48" s="294"/>
      <c r="J48" s="300">
        <f>'F 3B 4B'!$K$61</f>
        <v>6.7900000000000002E-2</v>
      </c>
      <c r="K48" s="294"/>
      <c r="L48" s="390">
        <f>ROUND(J48*$L$43,4)</f>
        <v>3.5700000000000003E-2</v>
      </c>
      <c r="M48" s="294"/>
      <c r="N48" s="294"/>
      <c r="O48" s="294"/>
      <c r="P48" s="294"/>
      <c r="Q48" s="294"/>
      <c r="R48" s="300">
        <f t="shared" si="2"/>
        <v>7.3800000000000004E-2</v>
      </c>
      <c r="S48" s="2"/>
      <c r="U48" s="161"/>
      <c r="V48" s="161"/>
      <c r="W48" s="189"/>
      <c r="X48" s="189"/>
      <c r="Y48" s="196"/>
      <c r="Z48" s="189"/>
      <c r="AA48" s="189"/>
      <c r="AB48" s="193"/>
      <c r="AC48" s="197"/>
      <c r="AD48" s="189"/>
      <c r="AE48" s="197"/>
      <c r="AF48" s="188"/>
      <c r="AG48" s="193"/>
      <c r="AH48" s="188"/>
      <c r="AI48" s="193"/>
      <c r="AJ48" s="188"/>
      <c r="AK48" s="188"/>
      <c r="AL48" s="192"/>
      <c r="AM48" s="192"/>
      <c r="AN48" s="188"/>
      <c r="AO48" s="188"/>
      <c r="AP48" s="188"/>
      <c r="AQ48" s="188"/>
    </row>
    <row r="49" spans="1:43" x14ac:dyDescent="0.2">
      <c r="A49" s="294" t="s">
        <v>267</v>
      </c>
      <c r="B49" s="294"/>
      <c r="C49" s="294"/>
      <c r="D49" s="562">
        <f>ROUND(('F 1-2'!$G$19/24),1)*0</f>
        <v>0</v>
      </c>
      <c r="E49" s="294"/>
      <c r="F49" s="300">
        <f>ROUND(+D49/$D$53,4)</f>
        <v>0</v>
      </c>
      <c r="G49" s="294"/>
      <c r="H49" s="300">
        <f t="shared" si="3"/>
        <v>0</v>
      </c>
      <c r="I49" s="294"/>
      <c r="J49" s="300">
        <f>'F 3B 4B'!$K$62</f>
        <v>0</v>
      </c>
      <c r="K49" s="294"/>
      <c r="L49" s="300">
        <f>ROUND(J49*$L$43,4)</f>
        <v>0</v>
      </c>
      <c r="M49" s="294"/>
      <c r="N49" s="300"/>
      <c r="O49" s="294"/>
      <c r="P49" s="300"/>
      <c r="Q49" s="294"/>
      <c r="R49" s="300">
        <f t="shared" si="2"/>
        <v>0</v>
      </c>
      <c r="U49" s="261" t="s">
        <v>690</v>
      </c>
      <c r="V49" s="161"/>
      <c r="W49" s="189"/>
      <c r="X49" s="189"/>
      <c r="Y49" s="196"/>
      <c r="Z49" s="189"/>
      <c r="AA49" s="189"/>
      <c r="AB49" s="193"/>
      <c r="AC49" s="197"/>
      <c r="AD49" s="189"/>
      <c r="AE49" s="197"/>
      <c r="AF49" s="188"/>
      <c r="AG49" s="193"/>
      <c r="AH49" s="188"/>
      <c r="AI49" s="193"/>
      <c r="AJ49" s="188"/>
      <c r="AK49" s="188"/>
      <c r="AL49" s="192"/>
      <c r="AM49" s="193"/>
      <c r="AN49" s="188"/>
      <c r="AO49" s="188"/>
      <c r="AP49" s="188"/>
      <c r="AQ49" s="188"/>
    </row>
    <row r="50" spans="1:43" x14ac:dyDescent="0.2">
      <c r="A50" s="294" t="s">
        <v>152</v>
      </c>
      <c r="B50" s="294"/>
      <c r="C50" s="294"/>
      <c r="D50" s="562">
        <f>ROUND(('F 1-2'!$G$20/24),1)</f>
        <v>4.0999999999999996</v>
      </c>
      <c r="E50" s="294"/>
      <c r="F50" s="300">
        <f t="shared" si="4"/>
        <v>3.3999999999999998E-3</v>
      </c>
      <c r="G50" s="294"/>
      <c r="H50" s="300">
        <f t="shared" si="3"/>
        <v>1.1999999999999999E-3</v>
      </c>
      <c r="I50" s="294"/>
      <c r="J50" s="300"/>
      <c r="K50" s="294"/>
      <c r="L50" s="300"/>
      <c r="M50" s="294"/>
      <c r="N50" s="300">
        <f>'Sch E Fire'!$O$26</f>
        <v>0.48309999999999997</v>
      </c>
      <c r="O50" s="294"/>
      <c r="P50" s="390">
        <f>ROUND(N50*$P$43,4)</f>
        <v>6.0199999999999997E-2</v>
      </c>
      <c r="Q50" s="294"/>
      <c r="R50" s="300">
        <f t="shared" si="2"/>
        <v>6.1399999999999996E-2</v>
      </c>
      <c r="S50" s="2"/>
      <c r="U50" s="161"/>
      <c r="V50" s="161"/>
      <c r="W50" s="189"/>
      <c r="X50" s="189"/>
      <c r="Y50" s="196"/>
      <c r="Z50" s="189"/>
      <c r="AA50" s="189"/>
      <c r="AB50" s="193"/>
      <c r="AC50" s="197"/>
      <c r="AD50" s="189"/>
      <c r="AE50" s="197"/>
      <c r="AF50" s="188"/>
      <c r="AG50" s="193"/>
      <c r="AH50" s="188"/>
      <c r="AI50" s="193"/>
      <c r="AJ50" s="188"/>
      <c r="AK50" s="188"/>
      <c r="AL50" s="192"/>
      <c r="AM50" s="193"/>
      <c r="AN50" s="188"/>
      <c r="AO50" s="188"/>
      <c r="AP50" s="188"/>
      <c r="AQ50" s="188"/>
    </row>
    <row r="51" spans="1:43" x14ac:dyDescent="0.2">
      <c r="A51" s="294" t="s">
        <v>153</v>
      </c>
      <c r="B51" s="294"/>
      <c r="C51" s="294"/>
      <c r="D51" s="562">
        <f>ROUND(('F 1-2'!$G$21/24),1)</f>
        <v>4.3</v>
      </c>
      <c r="E51" s="294"/>
      <c r="F51" s="300">
        <f t="shared" si="4"/>
        <v>3.5000000000000001E-3</v>
      </c>
      <c r="G51" s="294"/>
      <c r="H51" s="300">
        <f t="shared" si="3"/>
        <v>1.1999999999999999E-3</v>
      </c>
      <c r="I51" s="294"/>
      <c r="J51" s="300"/>
      <c r="K51" s="294"/>
      <c r="L51" s="300"/>
      <c r="M51" s="294"/>
      <c r="N51" s="300">
        <f>'Sch E Fire'!$O$33</f>
        <v>0.51690000000000003</v>
      </c>
      <c r="O51" s="294"/>
      <c r="P51" s="300">
        <f>ROUND(N51*$P$43,4)</f>
        <v>6.4399999999999999E-2</v>
      </c>
      <c r="Q51" s="294"/>
      <c r="R51" s="300">
        <f t="shared" si="2"/>
        <v>6.5600000000000006E-2</v>
      </c>
      <c r="S51" s="2"/>
      <c r="U51" s="161"/>
      <c r="V51" s="161"/>
      <c r="W51" s="161"/>
      <c r="X51" s="161"/>
      <c r="Y51" s="162"/>
      <c r="Z51" s="161"/>
      <c r="AA51" s="161"/>
      <c r="AB51" s="117"/>
      <c r="AC51" s="163"/>
      <c r="AD51" s="161"/>
      <c r="AE51" s="163"/>
      <c r="AG51" s="117"/>
      <c r="AI51" s="117"/>
    </row>
    <row r="52" spans="1:43" x14ac:dyDescent="0.2">
      <c r="A52" s="294"/>
      <c r="B52" s="294"/>
      <c r="C52" s="294"/>
      <c r="D52" s="563"/>
      <c r="E52" s="294"/>
      <c r="F52" s="564"/>
      <c r="G52" s="294"/>
      <c r="H52" s="564"/>
      <c r="I52" s="294"/>
      <c r="J52" s="564"/>
      <c r="K52" s="294"/>
      <c r="L52" s="564"/>
      <c r="M52" s="294"/>
      <c r="N52" s="564"/>
      <c r="O52" s="294"/>
      <c r="P52" s="564"/>
      <c r="Q52" s="294"/>
      <c r="R52" s="564"/>
      <c r="S52" s="2"/>
      <c r="U52" s="161"/>
      <c r="V52" s="161"/>
      <c r="W52" s="161"/>
      <c r="X52" s="161"/>
      <c r="Y52" s="162"/>
      <c r="Z52" s="161"/>
      <c r="AA52" s="161"/>
      <c r="AB52" s="117"/>
      <c r="AC52" s="163"/>
      <c r="AD52" s="161"/>
      <c r="AE52" s="163"/>
      <c r="AG52" s="117"/>
      <c r="AI52" s="117"/>
      <c r="AK52" s="4"/>
    </row>
    <row r="53" spans="1:43" ht="15.75" thickBot="1" x14ac:dyDescent="0.25">
      <c r="A53" s="294" t="s">
        <v>154</v>
      </c>
      <c r="B53" s="294"/>
      <c r="C53" s="294"/>
      <c r="D53" s="562">
        <f>SUM(D45:D52)</f>
        <v>1223.7999999999997</v>
      </c>
      <c r="E53" s="294"/>
      <c r="F53" s="300">
        <f>SUM(F45:F52)</f>
        <v>0.99999999999999989</v>
      </c>
      <c r="G53" s="294"/>
      <c r="H53" s="300">
        <f>SUM(H45:H52)</f>
        <v>0.35019999999999996</v>
      </c>
      <c r="I53" s="294"/>
      <c r="J53" s="300">
        <f>SUM(J45:J52)</f>
        <v>1</v>
      </c>
      <c r="K53" s="294"/>
      <c r="L53" s="300">
        <f>SUM(L45:L52)</f>
        <v>0.5252</v>
      </c>
      <c r="M53" s="294"/>
      <c r="N53" s="325">
        <f>SUM(N45:N52)</f>
        <v>1</v>
      </c>
      <c r="O53" s="294"/>
      <c r="P53" s="300">
        <f>SUM(P45:P52)</f>
        <v>0.12459999999999999</v>
      </c>
      <c r="Q53" s="294"/>
      <c r="R53" s="300">
        <f>SUM(R45:R52)</f>
        <v>1</v>
      </c>
      <c r="S53" s="2"/>
      <c r="U53" s="161"/>
      <c r="V53" s="161"/>
      <c r="W53" s="161"/>
      <c r="X53" s="161"/>
      <c r="Y53" s="162"/>
      <c r="Z53" s="161"/>
      <c r="AA53" s="161"/>
      <c r="AB53" s="117"/>
      <c r="AC53" s="163"/>
      <c r="AE53" s="163"/>
      <c r="AG53" s="117"/>
      <c r="AI53" s="117"/>
      <c r="AK53" s="4"/>
    </row>
    <row r="54" spans="1:43" ht="15.75" thickTop="1" x14ac:dyDescent="0.2">
      <c r="A54" s="294"/>
      <c r="B54" s="294"/>
      <c r="C54" s="294"/>
      <c r="D54" s="326"/>
      <c r="E54" s="294"/>
      <c r="F54" s="391"/>
      <c r="G54" s="294"/>
      <c r="H54" s="391"/>
      <c r="I54" s="294"/>
      <c r="J54" s="391"/>
      <c r="K54" s="294"/>
      <c r="L54" s="391"/>
      <c r="M54" s="294"/>
      <c r="N54" s="392"/>
      <c r="O54" s="294"/>
      <c r="P54" s="391"/>
      <c r="Q54" s="294"/>
      <c r="R54" s="391"/>
      <c r="S54" s="2"/>
      <c r="U54" s="161"/>
      <c r="V54" s="161"/>
      <c r="W54" s="161"/>
      <c r="X54" s="161"/>
      <c r="Y54" s="161"/>
      <c r="Z54" s="161"/>
      <c r="AA54" s="161"/>
      <c r="AB54" s="117"/>
      <c r="AC54" s="117"/>
      <c r="AG54" s="117"/>
      <c r="AK54" s="4"/>
    </row>
    <row r="55" spans="1:43" x14ac:dyDescent="0.2">
      <c r="A55" s="714" t="s">
        <v>1</v>
      </c>
      <c r="B55" s="714"/>
      <c r="C55" s="714"/>
      <c r="D55" s="714"/>
      <c r="E55" s="714"/>
      <c r="F55" s="714"/>
      <c r="G55" s="714"/>
      <c r="H55" s="714"/>
      <c r="I55" s="714"/>
      <c r="J55" s="714"/>
      <c r="K55" s="714"/>
      <c r="L55" s="714"/>
      <c r="M55" s="714"/>
      <c r="N55" s="714"/>
      <c r="O55" s="714"/>
      <c r="P55" s="714"/>
      <c r="Q55" s="714"/>
      <c r="R55" s="714"/>
      <c r="S55" s="2"/>
      <c r="U55" s="161"/>
      <c r="V55" s="161"/>
      <c r="W55" s="161"/>
      <c r="X55" s="161"/>
      <c r="Y55" s="162"/>
      <c r="Z55" s="161"/>
      <c r="AA55" s="162"/>
      <c r="AB55" s="117"/>
      <c r="AC55" s="117"/>
      <c r="AE55" s="163"/>
      <c r="AF55" s="117"/>
      <c r="AG55" s="117"/>
      <c r="AI55" s="117"/>
      <c r="AK55" s="4"/>
    </row>
    <row r="56" spans="1:43" x14ac:dyDescent="0.2">
      <c r="U56" s="161"/>
      <c r="V56" s="161"/>
      <c r="W56" s="161"/>
      <c r="X56" s="161"/>
      <c r="Y56" s="163"/>
      <c r="Z56" s="163"/>
      <c r="AA56" s="163"/>
      <c r="AB56" s="117"/>
      <c r="AC56" s="117"/>
      <c r="AD56" s="117"/>
      <c r="AE56" s="117"/>
      <c r="AF56" s="117"/>
      <c r="AG56" s="117"/>
      <c r="AH56" s="117"/>
      <c r="AI56" s="117"/>
      <c r="AK56" s="4"/>
    </row>
    <row r="57" spans="1:43" x14ac:dyDescent="0.2">
      <c r="D57" s="631"/>
      <c r="U57" s="161"/>
      <c r="V57" s="161"/>
      <c r="W57" s="161"/>
      <c r="X57" s="161"/>
      <c r="Y57" s="163"/>
      <c r="Z57" s="163"/>
      <c r="AA57" s="163"/>
      <c r="AB57" s="117"/>
      <c r="AC57" s="117"/>
      <c r="AD57" s="117"/>
      <c r="AE57" s="163"/>
      <c r="AF57" s="117"/>
      <c r="AG57" s="163"/>
      <c r="AH57" s="117"/>
      <c r="AI57" s="163"/>
      <c r="AK57" s="4"/>
    </row>
    <row r="58" spans="1:43" x14ac:dyDescent="0.2">
      <c r="A58" s="15"/>
      <c r="B58" s="1"/>
      <c r="C58" s="1"/>
      <c r="D58" s="1"/>
      <c r="E58" s="1"/>
      <c r="F58" s="1"/>
      <c r="G58" s="15"/>
      <c r="H58" s="1"/>
      <c r="I58" s="1"/>
      <c r="J58" s="1"/>
      <c r="K58" s="1"/>
      <c r="L58" s="1"/>
      <c r="M58" s="1"/>
      <c r="N58" s="1"/>
      <c r="O58" s="1"/>
      <c r="P58" s="1"/>
      <c r="Q58" s="1"/>
      <c r="R58" s="1"/>
      <c r="Y58" s="164"/>
      <c r="AK58" s="4"/>
    </row>
    <row r="59" spans="1:43" x14ac:dyDescent="0.2">
      <c r="A59" s="15"/>
      <c r="B59" s="1"/>
      <c r="C59" s="1"/>
      <c r="E59" s="1"/>
      <c r="F59" s="1"/>
      <c r="G59" s="15"/>
      <c r="H59" s="1"/>
      <c r="I59" s="1"/>
      <c r="J59" s="1"/>
      <c r="K59" s="1"/>
      <c r="L59" s="1"/>
      <c r="M59" s="1"/>
      <c r="N59" s="1"/>
      <c r="O59" s="1"/>
      <c r="P59" s="1"/>
      <c r="Q59" s="1"/>
      <c r="R59" s="1"/>
    </row>
    <row r="60" spans="1:43" x14ac:dyDescent="0.2">
      <c r="A60" s="1"/>
      <c r="B60" s="1"/>
      <c r="C60" s="1"/>
      <c r="D60" s="179"/>
      <c r="E60" s="1"/>
      <c r="F60" s="1"/>
      <c r="G60" s="1"/>
      <c r="H60" s="1"/>
      <c r="I60" s="1"/>
      <c r="J60" s="1"/>
      <c r="K60" s="1"/>
      <c r="L60" s="1"/>
      <c r="M60" s="1"/>
      <c r="N60" s="1"/>
      <c r="O60" s="1"/>
      <c r="P60" s="1"/>
      <c r="Q60" s="1"/>
      <c r="R60" s="1"/>
    </row>
    <row r="61" spans="1:43" x14ac:dyDescent="0.2">
      <c r="A61" s="1"/>
      <c r="B61" s="1"/>
      <c r="C61" s="1"/>
      <c r="D61" s="50"/>
      <c r="E61" s="1"/>
      <c r="F61" s="1"/>
      <c r="G61" s="1"/>
      <c r="H61" s="1"/>
      <c r="I61" s="1"/>
      <c r="J61" s="1"/>
      <c r="K61" s="1"/>
      <c r="L61" s="1"/>
      <c r="M61" s="1"/>
      <c r="N61" s="1"/>
      <c r="O61" s="1"/>
      <c r="P61" s="1"/>
      <c r="Q61" s="1"/>
      <c r="R61" s="1"/>
    </row>
    <row r="62" spans="1:43" x14ac:dyDescent="0.2">
      <c r="A62" s="2"/>
      <c r="B62" s="2"/>
      <c r="C62" s="2"/>
      <c r="D62" s="2"/>
      <c r="E62" s="2"/>
      <c r="F62" s="2"/>
      <c r="G62" s="2"/>
      <c r="H62" s="2"/>
      <c r="I62" s="2"/>
      <c r="J62" s="2"/>
      <c r="K62" s="2"/>
      <c r="L62" s="2"/>
      <c r="M62" s="2"/>
      <c r="N62" s="2"/>
      <c r="O62" s="2"/>
      <c r="P62" s="2"/>
      <c r="Q62" s="2"/>
      <c r="R62" s="2"/>
    </row>
    <row r="63" spans="1:43" x14ac:dyDescent="0.2">
      <c r="A63" s="2"/>
      <c r="B63" s="2"/>
      <c r="C63" s="2"/>
      <c r="D63" s="2"/>
      <c r="E63" s="2"/>
      <c r="F63" s="2"/>
      <c r="G63" s="2"/>
      <c r="H63" s="2"/>
      <c r="I63" s="2"/>
      <c r="J63" s="2"/>
      <c r="K63" s="2"/>
      <c r="L63" s="2"/>
      <c r="M63" s="2"/>
      <c r="N63" s="2"/>
      <c r="O63" s="2"/>
      <c r="P63" s="2"/>
      <c r="Q63" s="2"/>
      <c r="R63" s="2"/>
    </row>
    <row r="64" spans="1:43" ht="15" customHeight="1" x14ac:dyDescent="0.2">
      <c r="A64" s="713"/>
      <c r="B64" s="713"/>
      <c r="C64" s="713"/>
      <c r="D64" s="713"/>
      <c r="E64" s="713"/>
      <c r="F64" s="713"/>
      <c r="G64" s="713"/>
      <c r="H64" s="713"/>
      <c r="I64" s="713"/>
      <c r="J64" s="713"/>
      <c r="K64" s="713"/>
      <c r="L64" s="713"/>
      <c r="M64" s="713"/>
      <c r="N64" s="713"/>
      <c r="O64" s="713"/>
      <c r="P64" s="713"/>
      <c r="Q64" s="713"/>
      <c r="R64" s="713"/>
      <c r="Y64" s="2"/>
    </row>
    <row r="65" spans="1:18" x14ac:dyDescent="0.2">
      <c r="A65" s="2"/>
      <c r="B65" s="2"/>
      <c r="C65" s="2"/>
      <c r="D65" s="2"/>
      <c r="E65" s="2"/>
      <c r="F65" s="2"/>
      <c r="G65" s="2"/>
      <c r="H65" s="2"/>
      <c r="I65" s="2"/>
      <c r="J65" s="2"/>
      <c r="K65" s="2"/>
      <c r="L65" s="2"/>
      <c r="M65" s="2"/>
      <c r="N65" s="2"/>
      <c r="O65" s="2"/>
      <c r="P65" s="2"/>
      <c r="Q65" s="2"/>
      <c r="R65" s="2"/>
    </row>
    <row r="66" spans="1:18" x14ac:dyDescent="0.2">
      <c r="A66" s="2"/>
      <c r="B66" s="2"/>
      <c r="C66" s="2"/>
      <c r="D66" s="2"/>
      <c r="E66" s="2"/>
      <c r="F66" s="2"/>
      <c r="G66" s="2"/>
      <c r="H66" s="2"/>
      <c r="I66" s="2"/>
      <c r="J66" s="2"/>
      <c r="K66" s="2"/>
      <c r="L66" s="2"/>
      <c r="M66" s="2"/>
      <c r="N66" s="2"/>
      <c r="O66" s="2"/>
      <c r="P66" s="2"/>
      <c r="Q66" s="2"/>
      <c r="R66" s="2"/>
    </row>
    <row r="67" spans="1:18" ht="27.6" customHeight="1" x14ac:dyDescent="0.2">
      <c r="A67" s="711"/>
      <c r="B67" s="711"/>
      <c r="C67" s="711"/>
      <c r="D67" s="711"/>
      <c r="E67" s="711"/>
      <c r="F67" s="711"/>
      <c r="G67" s="711"/>
      <c r="H67" s="711"/>
      <c r="I67" s="711"/>
      <c r="J67" s="711"/>
      <c r="K67" s="711"/>
      <c r="L67" s="711"/>
      <c r="M67" s="711"/>
      <c r="N67" s="711"/>
      <c r="O67" s="711"/>
      <c r="P67" s="711"/>
      <c r="Q67" s="711"/>
      <c r="R67" s="711"/>
    </row>
    <row r="68" spans="1:18" x14ac:dyDescent="0.2">
      <c r="A68" s="2"/>
      <c r="B68" s="2"/>
      <c r="C68" s="2"/>
      <c r="D68" s="2"/>
      <c r="E68" s="2"/>
      <c r="F68" s="2"/>
      <c r="G68" s="2"/>
      <c r="H68" s="2"/>
      <c r="I68" s="2"/>
      <c r="J68" s="2"/>
      <c r="K68" s="2"/>
      <c r="L68" s="2"/>
      <c r="M68" s="2"/>
      <c r="N68" s="2"/>
      <c r="O68" s="2"/>
      <c r="P68" s="2"/>
      <c r="Q68" s="2"/>
      <c r="R68" s="2"/>
    </row>
    <row r="69" spans="1:18" x14ac:dyDescent="0.2">
      <c r="A69" s="2"/>
      <c r="B69" s="2"/>
      <c r="C69" s="2"/>
      <c r="D69" s="2"/>
      <c r="E69" s="2"/>
      <c r="F69" s="2"/>
      <c r="G69" s="2"/>
      <c r="H69" s="2"/>
      <c r="I69" s="2"/>
      <c r="J69" s="1"/>
      <c r="K69" s="1"/>
      <c r="L69" s="1"/>
      <c r="M69" s="2"/>
      <c r="N69" s="2"/>
      <c r="O69" s="2"/>
      <c r="P69" s="2"/>
      <c r="Q69" s="2"/>
      <c r="R69" s="2"/>
    </row>
    <row r="70" spans="1:18" x14ac:dyDescent="0.2">
      <c r="A70" s="2"/>
      <c r="B70" s="2"/>
      <c r="C70" s="2"/>
      <c r="D70" s="1"/>
      <c r="E70" s="1"/>
      <c r="F70" s="1"/>
      <c r="G70" s="1"/>
      <c r="H70" s="1"/>
      <c r="I70" s="2"/>
      <c r="J70" s="1"/>
      <c r="K70" s="1"/>
      <c r="L70" s="1"/>
      <c r="M70" s="2"/>
      <c r="N70" s="1"/>
      <c r="O70" s="1"/>
      <c r="P70" s="1"/>
      <c r="Q70" s="2"/>
      <c r="R70" s="2"/>
    </row>
    <row r="71" spans="1:18" x14ac:dyDescent="0.2">
      <c r="A71" s="1"/>
      <c r="B71" s="1"/>
      <c r="C71" s="2"/>
      <c r="D71" s="8"/>
      <c r="E71" s="8"/>
      <c r="F71" s="8"/>
      <c r="G71" s="8"/>
      <c r="H71" s="8"/>
      <c r="I71" s="9"/>
      <c r="J71" s="8"/>
      <c r="K71" s="8"/>
      <c r="L71" s="8"/>
      <c r="M71" s="9"/>
      <c r="N71" s="8"/>
      <c r="O71" s="8"/>
      <c r="P71" s="8"/>
      <c r="Q71" s="9"/>
      <c r="R71" s="9"/>
    </row>
    <row r="72" spans="1:18" x14ac:dyDescent="0.2">
      <c r="A72" s="1"/>
      <c r="B72" s="1"/>
      <c r="C72" s="2"/>
      <c r="D72" s="9"/>
      <c r="E72" s="9"/>
      <c r="F72" s="9"/>
      <c r="G72" s="9"/>
      <c r="H72" s="9"/>
      <c r="I72" s="9"/>
      <c r="J72" s="9"/>
      <c r="K72" s="9"/>
      <c r="L72" s="9"/>
      <c r="M72" s="9"/>
      <c r="N72" s="9"/>
      <c r="O72" s="9"/>
      <c r="P72" s="9"/>
      <c r="Q72" s="9"/>
      <c r="R72" s="9"/>
    </row>
    <row r="73" spans="1:18" x14ac:dyDescent="0.2">
      <c r="A73" s="3"/>
      <c r="B73" s="3"/>
      <c r="C73" s="2"/>
      <c r="D73" s="8"/>
      <c r="E73" s="2"/>
      <c r="F73" s="8"/>
      <c r="G73" s="2"/>
      <c r="H73" s="10"/>
      <c r="I73" s="2"/>
      <c r="J73" s="8"/>
      <c r="K73" s="2"/>
      <c r="L73" s="10"/>
      <c r="M73" s="2"/>
      <c r="N73" s="8"/>
      <c r="O73" s="2"/>
      <c r="P73" s="10"/>
      <c r="Q73" s="2"/>
      <c r="R73" s="8"/>
    </row>
    <row r="74" spans="1:18" x14ac:dyDescent="0.2">
      <c r="A74" s="2"/>
      <c r="B74" s="2"/>
      <c r="C74" s="2"/>
      <c r="D74" s="2"/>
      <c r="E74" s="2"/>
      <c r="F74" s="2"/>
      <c r="G74" s="2"/>
      <c r="H74" s="4"/>
      <c r="I74" s="4"/>
      <c r="J74" s="4"/>
      <c r="K74" s="4"/>
      <c r="L74" s="4"/>
      <c r="M74" s="4"/>
      <c r="N74" s="4"/>
      <c r="O74" s="4"/>
      <c r="P74" s="4"/>
      <c r="Q74" s="2"/>
      <c r="R74" s="17"/>
    </row>
    <row r="75" spans="1:18" x14ac:dyDescent="0.2">
      <c r="A75" s="2"/>
      <c r="B75" s="2"/>
      <c r="C75" s="2"/>
      <c r="D75" s="2"/>
      <c r="E75" s="2"/>
      <c r="F75" s="2"/>
      <c r="G75" s="2"/>
      <c r="H75" s="2"/>
      <c r="I75" s="2"/>
      <c r="J75" s="2"/>
      <c r="K75" s="2"/>
      <c r="L75" s="2"/>
      <c r="M75" s="2"/>
      <c r="N75" s="2"/>
      <c r="O75" s="2"/>
      <c r="P75" s="2"/>
      <c r="Q75" s="2"/>
      <c r="R75" s="2"/>
    </row>
    <row r="76" spans="1:18" x14ac:dyDescent="0.2">
      <c r="A76" s="2"/>
      <c r="B76" s="2"/>
      <c r="C76" s="2"/>
      <c r="D76" s="81"/>
      <c r="E76" s="2"/>
      <c r="F76" s="4"/>
      <c r="G76" s="2"/>
      <c r="H76" s="4"/>
      <c r="I76" s="2"/>
      <c r="J76" s="4"/>
      <c r="K76" s="2"/>
      <c r="L76" s="4"/>
      <c r="M76" s="2"/>
      <c r="N76" s="4"/>
      <c r="O76" s="2"/>
      <c r="P76" s="4"/>
      <c r="Q76" s="2"/>
      <c r="R76" s="4"/>
    </row>
    <row r="77" spans="1:18" x14ac:dyDescent="0.2">
      <c r="A77" s="2"/>
      <c r="B77" s="2"/>
      <c r="C77" s="2"/>
      <c r="D77" s="81"/>
      <c r="E77" s="2"/>
      <c r="F77" s="4"/>
      <c r="G77" s="2"/>
      <c r="H77" s="4"/>
      <c r="I77" s="2"/>
      <c r="J77" s="4"/>
      <c r="K77" s="2"/>
      <c r="L77" s="4"/>
      <c r="M77" s="2"/>
      <c r="N77" s="2"/>
      <c r="O77" s="2"/>
      <c r="P77" s="2"/>
      <c r="Q77" s="2"/>
      <c r="R77" s="4"/>
    </row>
    <row r="78" spans="1:18" x14ac:dyDescent="0.2">
      <c r="A78" s="2"/>
      <c r="B78" s="2"/>
      <c r="C78" s="2"/>
      <c r="D78" s="81"/>
      <c r="E78" s="2"/>
      <c r="F78" s="4"/>
      <c r="G78" s="2"/>
      <c r="H78" s="4"/>
      <c r="I78" s="2"/>
      <c r="J78" s="4"/>
      <c r="K78" s="2"/>
      <c r="L78" s="4"/>
      <c r="M78" s="2"/>
      <c r="N78" s="2"/>
      <c r="O78" s="2"/>
      <c r="P78" s="2"/>
      <c r="Q78" s="2"/>
      <c r="R78" s="4"/>
    </row>
    <row r="79" spans="1:18" x14ac:dyDescent="0.2">
      <c r="A79" s="2"/>
      <c r="B79" s="2"/>
      <c r="C79" s="2"/>
      <c r="D79" s="81"/>
      <c r="E79" s="2"/>
      <c r="F79" s="4"/>
      <c r="G79" s="2"/>
      <c r="H79" s="4"/>
      <c r="I79" s="2"/>
      <c r="J79" s="4"/>
      <c r="K79" s="2"/>
      <c r="L79" s="4"/>
      <c r="M79" s="2"/>
      <c r="N79" s="4"/>
      <c r="O79" s="2"/>
      <c r="P79" s="136"/>
      <c r="Q79" s="2"/>
      <c r="R79" s="4"/>
    </row>
    <row r="80" spans="1:18" x14ac:dyDescent="0.2">
      <c r="A80" s="2"/>
      <c r="B80" s="2"/>
      <c r="C80" s="2"/>
      <c r="D80" s="81"/>
      <c r="E80" s="2"/>
      <c r="F80" s="4"/>
      <c r="G80" s="2"/>
      <c r="H80" s="4"/>
      <c r="I80" s="2"/>
      <c r="J80" s="4"/>
      <c r="K80" s="2"/>
      <c r="L80" s="4"/>
      <c r="M80" s="2"/>
      <c r="N80" s="4"/>
      <c r="O80" s="2"/>
      <c r="P80" s="4"/>
      <c r="Q80" s="2"/>
      <c r="R80" s="4"/>
    </row>
    <row r="81" spans="1:18" x14ac:dyDescent="0.2">
      <c r="A81" s="2"/>
      <c r="B81" s="2"/>
      <c r="C81" s="2"/>
      <c r="D81" s="74"/>
      <c r="E81" s="2"/>
      <c r="F81" s="18"/>
      <c r="G81" s="2"/>
      <c r="H81" s="18"/>
      <c r="I81" s="2"/>
      <c r="J81" s="18"/>
      <c r="K81" s="2"/>
      <c r="L81" s="18"/>
      <c r="M81" s="2"/>
      <c r="N81" s="18"/>
      <c r="O81" s="2"/>
      <c r="P81" s="18"/>
      <c r="Q81" s="2"/>
      <c r="R81" s="18"/>
    </row>
    <row r="82" spans="1:18" ht="15.75" thickBot="1" x14ac:dyDescent="0.25">
      <c r="A82" s="2"/>
      <c r="B82" s="2"/>
      <c r="C82" s="2"/>
      <c r="D82" s="81"/>
      <c r="E82" s="2"/>
      <c r="F82" s="4"/>
      <c r="G82" s="2"/>
      <c r="H82" s="4"/>
      <c r="I82" s="2"/>
      <c r="J82" s="4"/>
      <c r="K82" s="2"/>
      <c r="L82" s="4"/>
      <c r="M82" s="2"/>
      <c r="N82" s="70"/>
      <c r="O82" s="2"/>
      <c r="P82" s="4"/>
      <c r="Q82" s="2"/>
      <c r="R82" s="4"/>
    </row>
    <row r="83" spans="1:18" ht="15.75" thickTop="1" x14ac:dyDescent="0.2">
      <c r="A83" s="2"/>
      <c r="B83" s="2"/>
      <c r="C83" s="2"/>
      <c r="D83" s="5"/>
      <c r="E83" s="2"/>
      <c r="F83" s="19"/>
      <c r="G83" s="2"/>
      <c r="H83" s="19"/>
      <c r="I83" s="2"/>
      <c r="J83" s="19"/>
      <c r="K83" s="2"/>
      <c r="L83" s="19"/>
      <c r="M83" s="2"/>
      <c r="N83" s="75"/>
      <c r="O83" s="2"/>
      <c r="P83" s="19"/>
      <c r="Q83" s="2"/>
      <c r="R83" s="19"/>
    </row>
    <row r="84" spans="1:18" x14ac:dyDescent="0.2">
      <c r="A84" s="712"/>
      <c r="B84" s="712"/>
      <c r="C84" s="712"/>
      <c r="D84" s="712"/>
      <c r="E84" s="712"/>
      <c r="F84" s="712"/>
      <c r="G84" s="712"/>
      <c r="H84" s="712"/>
      <c r="I84" s="712"/>
      <c r="J84" s="712"/>
      <c r="K84" s="712"/>
      <c r="L84" s="712"/>
      <c r="M84" s="712"/>
      <c r="N84" s="712"/>
      <c r="O84" s="712"/>
      <c r="P84" s="712"/>
      <c r="Q84" s="712"/>
      <c r="R84" s="712"/>
    </row>
    <row r="109" ht="13.35" customHeight="1" x14ac:dyDescent="0.2"/>
    <row r="110" ht="13.35" customHeight="1" x14ac:dyDescent="0.2"/>
    <row r="111" ht="13.35" customHeight="1" x14ac:dyDescent="0.2"/>
    <row r="112" ht="13.35" customHeight="1" x14ac:dyDescent="0.2"/>
    <row r="113" spans="47:47" ht="13.35" customHeight="1" x14ac:dyDescent="0.2"/>
    <row r="114" spans="47:47" ht="13.35" customHeight="1" x14ac:dyDescent="0.2"/>
    <row r="115" spans="47:47" ht="13.35" customHeight="1" x14ac:dyDescent="0.2"/>
    <row r="116" spans="47:47" ht="13.35" customHeight="1" x14ac:dyDescent="0.2"/>
    <row r="117" spans="47:47" ht="13.35" customHeight="1" x14ac:dyDescent="0.2"/>
    <row r="118" spans="47:47" ht="13.35" customHeight="1" x14ac:dyDescent="0.2"/>
    <row r="119" spans="47:47" ht="13.35" customHeight="1" x14ac:dyDescent="0.2"/>
    <row r="120" spans="47:47" ht="12.75" customHeight="1" x14ac:dyDescent="0.2"/>
    <row r="121" spans="47:47" ht="13.35" customHeight="1" x14ac:dyDescent="0.2"/>
    <row r="122" spans="47:47" ht="13.35" customHeight="1" x14ac:dyDescent="0.2"/>
    <row r="123" spans="47:47" ht="13.35" customHeight="1" x14ac:dyDescent="0.2">
      <c r="AU123" s="137"/>
    </row>
    <row r="124" spans="47:47" ht="13.35" customHeight="1" x14ac:dyDescent="0.2"/>
    <row r="125" spans="47:47" ht="13.35" customHeight="1" x14ac:dyDescent="0.2"/>
    <row r="126" spans="47:47" ht="13.35" customHeight="1" x14ac:dyDescent="0.2"/>
    <row r="127" spans="47:47" ht="13.35" customHeight="1" x14ac:dyDescent="0.2"/>
    <row r="128" spans="47:47" ht="13.35" customHeight="1" x14ac:dyDescent="0.2"/>
    <row r="129" ht="13.35" customHeight="1" x14ac:dyDescent="0.2"/>
    <row r="130" ht="13.35" customHeight="1" x14ac:dyDescent="0.2"/>
    <row r="131" ht="13.35" customHeight="1" x14ac:dyDescent="0.2"/>
    <row r="132" ht="13.35" customHeight="1" x14ac:dyDescent="0.2"/>
    <row r="133" ht="13.35" customHeight="1" x14ac:dyDescent="0.2"/>
    <row r="134" ht="13.35" customHeight="1" x14ac:dyDescent="0.2"/>
    <row r="135" ht="13.35" customHeight="1" x14ac:dyDescent="0.2"/>
    <row r="136" ht="13.35" customHeight="1" x14ac:dyDescent="0.2"/>
    <row r="137" ht="13.35" customHeight="1" x14ac:dyDescent="0.2"/>
    <row r="138" ht="13.35" customHeight="1" x14ac:dyDescent="0.2"/>
    <row r="139" ht="12.75" customHeight="1" x14ac:dyDescent="0.2"/>
    <row r="140" ht="13.35" customHeight="1" x14ac:dyDescent="0.2"/>
    <row r="141" ht="13.35" customHeight="1" x14ac:dyDescent="0.2"/>
    <row r="142" ht="13.35" customHeight="1" x14ac:dyDescent="0.2"/>
    <row r="143" ht="13.35" customHeight="1" x14ac:dyDescent="0.2"/>
    <row r="144" ht="13.35" customHeight="1" x14ac:dyDescent="0.2"/>
    <row r="145" ht="13.35" customHeight="1" x14ac:dyDescent="0.2"/>
    <row r="146" ht="13.35" customHeight="1" x14ac:dyDescent="0.2"/>
    <row r="147" ht="13.35" customHeight="1" x14ac:dyDescent="0.2"/>
    <row r="148" ht="12.75" customHeight="1" x14ac:dyDescent="0.2"/>
    <row r="149" ht="13.35" customHeight="1" x14ac:dyDescent="0.2"/>
    <row r="150" ht="13.35" customHeight="1" x14ac:dyDescent="0.2"/>
    <row r="151" ht="13.35" customHeight="1" x14ac:dyDescent="0.2"/>
    <row r="152" ht="13.35" customHeight="1" x14ac:dyDescent="0.2"/>
    <row r="153" ht="13.35" customHeight="1" x14ac:dyDescent="0.2"/>
    <row r="154" ht="13.35" customHeight="1" x14ac:dyDescent="0.2"/>
    <row r="155" ht="13.35" customHeight="1" x14ac:dyDescent="0.2"/>
    <row r="171" spans="66:67" x14ac:dyDescent="0.2">
      <c r="BN171" s="1"/>
      <c r="BO171" s="1"/>
    </row>
    <row r="172" spans="66:67" x14ac:dyDescent="0.2">
      <c r="BN172" s="1"/>
      <c r="BO172" s="1"/>
    </row>
    <row r="173" spans="66:67" ht="12.75" customHeight="1" x14ac:dyDescent="0.2"/>
    <row r="174" spans="66:67" x14ac:dyDescent="0.2">
      <c r="BN174" s="9"/>
      <c r="BO174" s="9"/>
    </row>
    <row r="175" spans="66:67" ht="12.75" customHeight="1" x14ac:dyDescent="0.2">
      <c r="BN175" s="2"/>
      <c r="BO175" s="2"/>
    </row>
    <row r="176" spans="66:67" ht="13.35" customHeight="1" x14ac:dyDescent="0.2">
      <c r="BN176" s="7"/>
      <c r="BO176" s="7"/>
    </row>
    <row r="177" spans="66:67" ht="13.35" customHeight="1" x14ac:dyDescent="0.2">
      <c r="BN177" s="7"/>
      <c r="BO177" s="7"/>
    </row>
    <row r="178" spans="66:67" ht="13.35" customHeight="1" x14ac:dyDescent="0.2">
      <c r="BN178" s="7"/>
      <c r="BO178" s="7"/>
    </row>
    <row r="179" spans="66:67" ht="13.35" customHeight="1" x14ac:dyDescent="0.2">
      <c r="BN179" s="7"/>
      <c r="BO179" s="7"/>
    </row>
    <row r="180" spans="66:67" ht="12.75" customHeight="1" x14ac:dyDescent="0.2">
      <c r="BN180" s="2"/>
      <c r="BO180" s="2"/>
    </row>
    <row r="181" spans="66:67" x14ac:dyDescent="0.2">
      <c r="BN181" s="159"/>
      <c r="BO181" s="159"/>
    </row>
    <row r="183" spans="66:67" ht="12.75" customHeight="1" x14ac:dyDescent="0.2"/>
    <row r="185" spans="66:67" ht="13.35" customHeight="1" x14ac:dyDescent="0.2"/>
    <row r="186" spans="66:67" ht="13.35" customHeight="1" x14ac:dyDescent="0.2"/>
    <row r="187" spans="66:67" ht="13.35" customHeight="1" x14ac:dyDescent="0.2"/>
    <row r="188" spans="66:67" ht="13.35" customHeight="1" x14ac:dyDescent="0.2"/>
    <row r="198" ht="12.75" customHeight="1" x14ac:dyDescent="0.2"/>
    <row r="200" ht="12.75" customHeight="1" x14ac:dyDescent="0.2"/>
    <row r="204" ht="12.75" customHeight="1" x14ac:dyDescent="0.2"/>
    <row r="206" ht="13.35" customHeight="1" x14ac:dyDescent="0.2"/>
    <row r="207" ht="13.35" customHeight="1" x14ac:dyDescent="0.2"/>
    <row r="208" ht="13.35" customHeight="1" x14ac:dyDescent="0.2"/>
    <row r="209" ht="13.35" customHeight="1" x14ac:dyDescent="0.2"/>
    <row r="210" ht="13.35" customHeight="1" x14ac:dyDescent="0.2"/>
    <row r="211" ht="13.35" customHeight="1" x14ac:dyDescent="0.2"/>
    <row r="212" ht="12.75" customHeight="1" x14ac:dyDescent="0.2"/>
    <row r="214" ht="12.75" customHeight="1" x14ac:dyDescent="0.2"/>
  </sheetData>
  <mergeCells count="6">
    <mergeCell ref="A8:P8"/>
    <mergeCell ref="A67:R67"/>
    <mergeCell ref="A84:R84"/>
    <mergeCell ref="A64:R64"/>
    <mergeCell ref="A36:R36"/>
    <mergeCell ref="A55:R55"/>
  </mergeCells>
  <phoneticPr fontId="13" type="noConversion"/>
  <printOptions horizontalCentered="1"/>
  <pageMargins left="0.5" right="0.5" top="1" bottom="0.5" header="0.5" footer="0.5"/>
  <pageSetup scale="95" orientation="landscape" r:id="rId1"/>
  <headerFooter alignWithMargins="0"/>
  <rowBreaks count="2" manualBreakCount="2">
    <brk id="27" max="17" man="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T69"/>
  <sheetViews>
    <sheetView workbookViewId="0">
      <selection activeCell="L23" sqref="L23"/>
    </sheetView>
  </sheetViews>
  <sheetFormatPr defaultColWidth="9.77734375" defaultRowHeight="15" x14ac:dyDescent="0.2"/>
  <cols>
    <col min="1" max="1" width="5.21875" style="96" customWidth="1"/>
    <col min="2" max="2" width="14.21875" style="96" customWidth="1"/>
    <col min="3" max="3" width="4.109375" style="96" customWidth="1"/>
    <col min="4" max="4" width="4.21875" style="96" customWidth="1"/>
    <col min="5" max="5" width="9.77734375" style="96" customWidth="1"/>
    <col min="6" max="6" width="3.44140625" style="96" customWidth="1"/>
    <col min="7" max="7" width="10.109375" style="96" customWidth="1"/>
    <col min="8" max="8" width="4.88671875" style="96" customWidth="1"/>
    <col min="9" max="9" width="9.77734375" style="96" customWidth="1"/>
    <col min="10" max="10" width="2.77734375" style="96" customWidth="1"/>
    <col min="11" max="11" width="6" style="96" customWidth="1"/>
    <col min="12" max="13" width="9.77734375" style="96" customWidth="1"/>
    <col min="14" max="14" width="1.77734375" style="96" customWidth="1"/>
    <col min="15" max="15" width="7.77734375" style="96" customWidth="1"/>
    <col min="16" max="16" width="16" style="96" bestFit="1" customWidth="1"/>
    <col min="17" max="17" width="11" style="96" bestFit="1" customWidth="1"/>
    <col min="18" max="16384" width="9.77734375" style="96"/>
  </cols>
  <sheetData>
    <row r="1" spans="1:20" x14ac:dyDescent="0.2">
      <c r="A1" s="15" t="s">
        <v>7</v>
      </c>
      <c r="B1" s="20"/>
      <c r="C1" s="20"/>
      <c r="D1" s="20"/>
      <c r="E1" s="20"/>
      <c r="F1" s="20"/>
      <c r="G1" s="20"/>
      <c r="H1" s="20"/>
      <c r="I1" s="20"/>
      <c r="J1" s="20"/>
      <c r="K1" s="20"/>
    </row>
    <row r="2" spans="1:20" x14ac:dyDescent="0.2">
      <c r="A2" s="15"/>
      <c r="B2" s="20"/>
      <c r="C2" s="20"/>
      <c r="D2" s="20"/>
      <c r="E2" s="20"/>
      <c r="F2" s="20"/>
      <c r="G2" s="20"/>
      <c r="H2" s="20"/>
      <c r="I2" s="20"/>
      <c r="J2" s="20"/>
      <c r="K2" s="20"/>
    </row>
    <row r="3" spans="1:20" x14ac:dyDescent="0.2">
      <c r="A3" s="715" t="s">
        <v>170</v>
      </c>
      <c r="B3" s="716"/>
      <c r="C3" s="715"/>
      <c r="D3" s="715"/>
      <c r="E3" s="715"/>
      <c r="F3" s="715"/>
      <c r="G3" s="715"/>
      <c r="H3" s="715"/>
      <c r="I3" s="715"/>
      <c r="J3" s="715"/>
      <c r="K3" s="715"/>
      <c r="L3" s="21"/>
    </row>
    <row r="4" spans="1:20" x14ac:dyDescent="0.2">
      <c r="A4" s="349"/>
      <c r="B4" s="349"/>
      <c r="C4" s="349"/>
      <c r="D4" s="349"/>
      <c r="E4" s="349"/>
      <c r="F4" s="349"/>
      <c r="G4" s="349"/>
      <c r="H4" s="349"/>
      <c r="I4" s="349"/>
      <c r="J4" s="349"/>
      <c r="K4" s="349"/>
      <c r="L4" s="22"/>
    </row>
    <row r="5" spans="1:20" x14ac:dyDescent="0.2">
      <c r="A5" s="349" t="s">
        <v>620</v>
      </c>
      <c r="B5" s="349"/>
      <c r="C5" s="349"/>
      <c r="D5" s="349"/>
      <c r="E5" s="349"/>
      <c r="F5" s="349"/>
      <c r="G5" s="349"/>
      <c r="H5" s="349"/>
      <c r="I5" s="349"/>
      <c r="J5" s="349"/>
      <c r="K5" s="349"/>
      <c r="L5" s="22"/>
    </row>
    <row r="6" spans="1:20" x14ac:dyDescent="0.2">
      <c r="A6" s="349" t="s">
        <v>621</v>
      </c>
      <c r="B6" s="349"/>
      <c r="C6" s="349"/>
      <c r="D6" s="349"/>
      <c r="E6" s="349"/>
      <c r="F6" s="349"/>
      <c r="G6" s="349"/>
      <c r="H6" s="349"/>
      <c r="I6" s="349"/>
      <c r="J6" s="349"/>
      <c r="K6" s="349"/>
      <c r="L6" s="22"/>
    </row>
    <row r="7" spans="1:20" x14ac:dyDescent="0.2">
      <c r="A7" s="349"/>
      <c r="B7" s="349"/>
      <c r="C7" s="349"/>
      <c r="D7" s="349"/>
      <c r="E7" s="349"/>
      <c r="F7" s="349"/>
      <c r="G7" s="349"/>
      <c r="H7" s="349"/>
      <c r="I7" s="349"/>
      <c r="J7" s="349"/>
      <c r="K7" s="349"/>
      <c r="L7" s="22"/>
    </row>
    <row r="8" spans="1:20" ht="66" customHeight="1" x14ac:dyDescent="0.2">
      <c r="A8" s="717" t="s">
        <v>630</v>
      </c>
      <c r="B8" s="717"/>
      <c r="C8" s="717"/>
      <c r="D8" s="717"/>
      <c r="E8" s="717"/>
      <c r="F8" s="717"/>
      <c r="G8" s="717"/>
      <c r="H8" s="717"/>
      <c r="I8" s="717"/>
      <c r="J8" s="717"/>
      <c r="K8" s="717"/>
      <c r="L8" s="22"/>
    </row>
    <row r="9" spans="1:20" x14ac:dyDescent="0.2">
      <c r="A9" s="349"/>
      <c r="B9" s="349"/>
      <c r="C9" s="349"/>
      <c r="D9" s="349"/>
      <c r="E9" s="349"/>
      <c r="F9" s="349"/>
      <c r="G9" s="349"/>
      <c r="H9" s="349"/>
      <c r="I9" s="349"/>
      <c r="J9" s="349"/>
      <c r="K9" s="349"/>
      <c r="L9" s="22"/>
    </row>
    <row r="10" spans="1:20" x14ac:dyDescent="0.2">
      <c r="A10" s="349"/>
      <c r="B10" s="349"/>
      <c r="C10" s="349"/>
      <c r="D10" s="349"/>
      <c r="E10" s="351"/>
      <c r="F10" s="349"/>
      <c r="G10" s="350" t="s">
        <v>173</v>
      </c>
      <c r="H10" s="349"/>
      <c r="I10" s="351"/>
      <c r="J10" s="349"/>
      <c r="K10" s="349"/>
      <c r="L10" s="22"/>
    </row>
    <row r="11" spans="1:20" x14ac:dyDescent="0.2">
      <c r="A11" s="349"/>
      <c r="B11" s="349"/>
      <c r="C11" s="351"/>
      <c r="D11" s="349"/>
      <c r="E11" s="350" t="s">
        <v>180</v>
      </c>
      <c r="F11" s="349"/>
      <c r="G11" s="350" t="s">
        <v>201</v>
      </c>
      <c r="H11" s="349"/>
      <c r="I11" s="350" t="s">
        <v>181</v>
      </c>
      <c r="J11" s="349"/>
      <c r="K11" s="351"/>
      <c r="L11" s="22"/>
    </row>
    <row r="12" spans="1:20" x14ac:dyDescent="0.2">
      <c r="A12" s="349"/>
      <c r="B12" s="349"/>
      <c r="C12" s="351"/>
      <c r="D12" s="349"/>
      <c r="E12" s="355"/>
      <c r="F12" s="349"/>
      <c r="G12" s="355"/>
      <c r="H12" s="349"/>
      <c r="I12" s="355"/>
      <c r="J12" s="349"/>
      <c r="K12" s="351"/>
      <c r="L12" s="22"/>
      <c r="P12" s="247"/>
      <c r="Q12" s="247"/>
      <c r="R12" s="453"/>
      <c r="S12" s="453"/>
      <c r="T12" s="453"/>
    </row>
    <row r="13" spans="1:20" x14ac:dyDescent="0.2">
      <c r="A13" s="351"/>
      <c r="B13" s="349" t="s">
        <v>182</v>
      </c>
      <c r="C13" s="351"/>
      <c r="D13" s="349"/>
      <c r="E13" s="462">
        <v>1</v>
      </c>
      <c r="F13" s="349"/>
      <c r="G13" s="463">
        <v>40472204.696767099</v>
      </c>
      <c r="H13" s="349"/>
      <c r="I13" s="464">
        <f>ROUND(+G13/G$21,4)</f>
        <v>0.52680000000000005</v>
      </c>
      <c r="J13" s="349"/>
      <c r="K13" s="351"/>
      <c r="L13" s="22"/>
      <c r="P13" s="453"/>
      <c r="Q13" s="453"/>
      <c r="R13" s="453"/>
      <c r="S13" s="453"/>
      <c r="T13" s="453"/>
    </row>
    <row r="14" spans="1:20" x14ac:dyDescent="0.2">
      <c r="A14" s="351"/>
      <c r="B14" s="349" t="s">
        <v>158</v>
      </c>
      <c r="C14" s="351"/>
      <c r="D14" s="349"/>
      <c r="E14" s="462"/>
      <c r="F14" s="349"/>
      <c r="G14" s="463"/>
      <c r="H14" s="349"/>
      <c r="I14" s="464"/>
      <c r="J14" s="349"/>
      <c r="K14" s="351"/>
      <c r="L14" s="22"/>
      <c r="P14" s="247"/>
      <c r="Q14" s="453"/>
      <c r="R14" s="453"/>
      <c r="S14" s="453"/>
      <c r="T14" s="453"/>
    </row>
    <row r="15" spans="1:20" x14ac:dyDescent="0.2">
      <c r="A15" s="351"/>
      <c r="B15" s="349" t="s">
        <v>183</v>
      </c>
      <c r="C15" s="351"/>
      <c r="D15" s="349"/>
      <c r="E15" s="462">
        <f>+'F 2 B'!F31</f>
        <v>0.75</v>
      </c>
      <c r="F15" s="463"/>
      <c r="G15" s="463">
        <f>ROUND(+G13*E15,0)</f>
        <v>30354154</v>
      </c>
      <c r="H15" s="464"/>
      <c r="I15" s="464">
        <f>ROUND(+G15/G$21,4)</f>
        <v>0.39510000000000001</v>
      </c>
      <c r="J15" s="349"/>
      <c r="K15" s="351"/>
      <c r="L15" s="22"/>
      <c r="P15" s="453"/>
      <c r="Q15" s="453"/>
      <c r="R15" s="453"/>
      <c r="S15" s="453"/>
      <c r="T15" s="453"/>
    </row>
    <row r="16" spans="1:20" x14ac:dyDescent="0.2">
      <c r="A16" s="351"/>
      <c r="B16" s="349"/>
      <c r="C16" s="351"/>
      <c r="D16" s="349"/>
      <c r="E16" s="465"/>
      <c r="F16" s="463"/>
      <c r="G16" s="466"/>
      <c r="H16" s="464"/>
      <c r="I16" s="467"/>
      <c r="J16" s="349"/>
      <c r="K16" s="351"/>
      <c r="L16" s="22"/>
      <c r="P16" s="453"/>
      <c r="Q16" s="453"/>
      <c r="R16" s="453"/>
      <c r="S16" s="453"/>
      <c r="T16" s="453"/>
    </row>
    <row r="17" spans="1:20" ht="15.75" thickBot="1" x14ac:dyDescent="0.25">
      <c r="A17" s="351"/>
      <c r="B17" s="349" t="s">
        <v>203</v>
      </c>
      <c r="C17" s="351"/>
      <c r="D17" s="349"/>
      <c r="E17" s="468">
        <f>SUM(E13:E16)</f>
        <v>1.75</v>
      </c>
      <c r="F17" s="463"/>
      <c r="G17" s="463">
        <f>SUM(G13:G16)</f>
        <v>70826358.696767092</v>
      </c>
      <c r="H17" s="464"/>
      <c r="I17" s="464">
        <f>SUM(I13:I16)</f>
        <v>0.92190000000000005</v>
      </c>
      <c r="J17" s="349"/>
      <c r="K17" s="351"/>
      <c r="L17" s="22"/>
      <c r="P17" s="453"/>
      <c r="Q17" s="453"/>
      <c r="R17" s="453"/>
      <c r="S17" s="453"/>
      <c r="T17" s="453"/>
    </row>
    <row r="18" spans="1:20" ht="15.75" thickTop="1" x14ac:dyDescent="0.2">
      <c r="A18" s="351"/>
      <c r="B18" s="349"/>
      <c r="C18" s="351"/>
      <c r="D18" s="349"/>
      <c r="E18" s="380"/>
      <c r="F18" s="463"/>
      <c r="G18" s="463"/>
      <c r="H18" s="469"/>
      <c r="I18" s="464"/>
      <c r="J18" s="349"/>
      <c r="K18" s="351"/>
      <c r="L18" s="22"/>
      <c r="P18" s="452"/>
      <c r="Q18" s="453"/>
      <c r="R18" s="453"/>
      <c r="S18" s="453"/>
      <c r="T18" s="453"/>
    </row>
    <row r="19" spans="1:20" x14ac:dyDescent="0.2">
      <c r="A19" s="351"/>
      <c r="B19" s="349" t="s">
        <v>187</v>
      </c>
      <c r="C19" s="349"/>
      <c r="D19" s="349"/>
      <c r="E19" s="351"/>
      <c r="F19" s="349"/>
      <c r="G19" s="470">
        <f>+G46*60*10</f>
        <v>6000000</v>
      </c>
      <c r="H19" s="349"/>
      <c r="I19" s="464">
        <f>ROUND(+G19/G$21,4)</f>
        <v>7.8100000000000003E-2</v>
      </c>
      <c r="J19" s="349"/>
      <c r="K19" s="351"/>
      <c r="L19" s="22"/>
      <c r="P19" s="452"/>
      <c r="Q19" s="452"/>
      <c r="R19" s="453"/>
      <c r="S19" s="453"/>
      <c r="T19" s="453"/>
    </row>
    <row r="20" spans="1:20" x14ac:dyDescent="0.2">
      <c r="A20" s="351"/>
      <c r="B20" s="349"/>
      <c r="C20" s="349"/>
      <c r="D20" s="349"/>
      <c r="E20" s="351"/>
      <c r="F20" s="349"/>
      <c r="G20" s="355"/>
      <c r="H20" s="349"/>
      <c r="I20" s="467"/>
      <c r="J20" s="349"/>
      <c r="K20" s="351"/>
      <c r="L20" s="22"/>
      <c r="P20" s="452"/>
      <c r="Q20" s="452"/>
      <c r="R20" s="453"/>
      <c r="S20" s="453"/>
      <c r="T20" s="453"/>
    </row>
    <row r="21" spans="1:20" ht="15.75" thickBot="1" x14ac:dyDescent="0.25">
      <c r="A21" s="351"/>
      <c r="B21" s="349" t="s">
        <v>184</v>
      </c>
      <c r="C21" s="349"/>
      <c r="D21" s="349"/>
      <c r="E21" s="351"/>
      <c r="F21" s="349"/>
      <c r="G21" s="471">
        <f>SUM(G17:G19)</f>
        <v>76826358.696767092</v>
      </c>
      <c r="H21" s="349"/>
      <c r="I21" s="464">
        <f>SUM(I17:I19)</f>
        <v>1</v>
      </c>
      <c r="J21" s="349"/>
      <c r="K21" s="351"/>
      <c r="L21" s="22"/>
    </row>
    <row r="22" spans="1:20" ht="15.75" thickTop="1" x14ac:dyDescent="0.2">
      <c r="A22" s="351"/>
      <c r="B22" s="349"/>
      <c r="C22" s="349"/>
      <c r="D22" s="349"/>
      <c r="E22" s="349"/>
      <c r="F22" s="349"/>
      <c r="G22" s="380"/>
      <c r="H22" s="349"/>
      <c r="I22" s="381"/>
      <c r="J22" s="349"/>
      <c r="K22" s="351"/>
      <c r="L22" s="22"/>
    </row>
    <row r="23" spans="1:20" x14ac:dyDescent="0.2">
      <c r="A23" s="349"/>
      <c r="B23" s="349"/>
      <c r="C23" s="349"/>
      <c r="D23" s="349"/>
      <c r="E23" s="349"/>
      <c r="F23" s="349"/>
      <c r="G23" s="349"/>
      <c r="H23" s="349"/>
      <c r="I23" s="349"/>
      <c r="J23" s="349"/>
      <c r="K23" s="349"/>
      <c r="L23" s="22"/>
    </row>
    <row r="24" spans="1:20" ht="30.6" customHeight="1" x14ac:dyDescent="0.2">
      <c r="A24" s="717" t="s">
        <v>123</v>
      </c>
      <c r="B24" s="717"/>
      <c r="C24" s="717"/>
      <c r="D24" s="717"/>
      <c r="E24" s="717"/>
      <c r="F24" s="717"/>
      <c r="G24" s="717"/>
      <c r="H24" s="717"/>
      <c r="I24" s="717"/>
      <c r="J24" s="717"/>
      <c r="K24" s="717"/>
      <c r="L24" s="22"/>
    </row>
    <row r="25" spans="1:20" x14ac:dyDescent="0.2">
      <c r="A25" s="349"/>
      <c r="B25" s="349"/>
      <c r="C25" s="349"/>
      <c r="D25" s="349"/>
      <c r="E25" s="349"/>
      <c r="F25" s="349"/>
      <c r="G25" s="349"/>
      <c r="H25" s="349"/>
      <c r="I25" s="349"/>
      <c r="J25" s="349"/>
      <c r="K25" s="349"/>
      <c r="L25" s="22"/>
    </row>
    <row r="26" spans="1:20" x14ac:dyDescent="0.2">
      <c r="A26" s="349"/>
      <c r="B26" s="349"/>
      <c r="C26" s="349"/>
      <c r="D26" s="349"/>
      <c r="E26" s="349"/>
      <c r="F26" s="349"/>
      <c r="G26" s="349"/>
      <c r="H26" s="349"/>
      <c r="I26" s="349"/>
      <c r="J26" s="349"/>
      <c r="K26" s="349"/>
      <c r="L26" s="22"/>
    </row>
    <row r="27" spans="1:20" x14ac:dyDescent="0.2">
      <c r="A27" s="349"/>
      <c r="B27" s="349"/>
      <c r="C27" s="349"/>
      <c r="D27" s="349"/>
      <c r="E27" s="349"/>
      <c r="F27" s="349"/>
      <c r="G27" s="349"/>
      <c r="H27" s="349"/>
      <c r="I27" s="349"/>
      <c r="J27" s="349"/>
      <c r="K27" s="349"/>
      <c r="L27" s="22"/>
    </row>
    <row r="28" spans="1:20" x14ac:dyDescent="0.2">
      <c r="A28" s="15" t="s">
        <v>7</v>
      </c>
      <c r="B28" s="352"/>
      <c r="C28" s="352"/>
      <c r="D28" s="352"/>
      <c r="E28" s="352"/>
      <c r="F28" s="352"/>
      <c r="G28" s="352"/>
      <c r="H28" s="352"/>
      <c r="I28" s="352"/>
      <c r="J28" s="352"/>
      <c r="K28" s="352"/>
    </row>
    <row r="29" spans="1:20" x14ac:dyDescent="0.2">
      <c r="A29" s="293"/>
      <c r="B29" s="352"/>
      <c r="C29" s="352"/>
      <c r="D29" s="352"/>
      <c r="E29" s="352"/>
      <c r="F29" s="352"/>
      <c r="G29" s="352"/>
      <c r="H29" s="352"/>
      <c r="I29" s="352"/>
      <c r="J29" s="352"/>
      <c r="K29" s="352"/>
    </row>
    <row r="30" spans="1:20" x14ac:dyDescent="0.2">
      <c r="A30" s="352" t="s">
        <v>170</v>
      </c>
      <c r="B30" s="352"/>
      <c r="C30" s="352"/>
      <c r="D30" s="352"/>
      <c r="E30" s="352"/>
      <c r="F30" s="352"/>
      <c r="G30" s="352"/>
      <c r="H30" s="352"/>
      <c r="I30" s="352"/>
      <c r="J30" s="352"/>
      <c r="K30" s="352"/>
    </row>
    <row r="31" spans="1:20" x14ac:dyDescent="0.2">
      <c r="A31" s="351"/>
      <c r="B31" s="351"/>
      <c r="C31" s="351"/>
      <c r="D31" s="351"/>
      <c r="E31" s="351"/>
      <c r="F31" s="351"/>
      <c r="G31" s="351"/>
      <c r="H31" s="351"/>
      <c r="I31" s="351"/>
      <c r="J31" s="351"/>
      <c r="K31" s="351"/>
    </row>
    <row r="32" spans="1:20" x14ac:dyDescent="0.2">
      <c r="A32" s="349" t="s">
        <v>204</v>
      </c>
      <c r="B32" s="349"/>
      <c r="C32" s="349"/>
      <c r="D32" s="349"/>
      <c r="E32" s="349"/>
      <c r="F32" s="349"/>
      <c r="G32" s="349"/>
      <c r="H32" s="349"/>
      <c r="I32" s="349"/>
      <c r="J32" s="349"/>
      <c r="K32" s="349"/>
      <c r="L32" s="22"/>
    </row>
    <row r="33" spans="1:15" x14ac:dyDescent="0.2">
      <c r="A33" s="349" t="s">
        <v>205</v>
      </c>
      <c r="B33" s="349"/>
      <c r="C33" s="349"/>
      <c r="D33" s="349"/>
      <c r="E33" s="349"/>
      <c r="F33" s="349"/>
      <c r="G33" s="349"/>
      <c r="H33" s="349"/>
      <c r="I33" s="349"/>
      <c r="J33" s="349"/>
      <c r="K33" s="349"/>
      <c r="L33" s="22"/>
    </row>
    <row r="34" spans="1:15" ht="11.25" customHeight="1" x14ac:dyDescent="0.2">
      <c r="A34" s="349"/>
      <c r="B34" s="349"/>
      <c r="C34" s="349"/>
      <c r="D34" s="349"/>
      <c r="E34" s="349"/>
      <c r="F34" s="349"/>
      <c r="G34" s="349"/>
      <c r="H34" s="349"/>
      <c r="I34" s="349"/>
      <c r="J34" s="349"/>
      <c r="K34" s="349"/>
      <c r="L34" s="22"/>
    </row>
    <row r="35" spans="1:15" ht="72" customHeight="1" x14ac:dyDescent="0.2">
      <c r="A35" s="717" t="s">
        <v>631</v>
      </c>
      <c r="B35" s="717"/>
      <c r="C35" s="717"/>
      <c r="D35" s="717"/>
      <c r="E35" s="717"/>
      <c r="F35" s="717"/>
      <c r="G35" s="717"/>
      <c r="H35" s="717"/>
      <c r="I35" s="717"/>
      <c r="J35" s="717"/>
      <c r="K35" s="717"/>
      <c r="L35" s="22"/>
    </row>
    <row r="36" spans="1:15" ht="8.25" customHeight="1" x14ac:dyDescent="0.2">
      <c r="A36" s="349"/>
      <c r="B36" s="349"/>
      <c r="C36" s="349"/>
      <c r="D36" s="349"/>
      <c r="E36" s="349"/>
      <c r="F36" s="349"/>
      <c r="G36" s="349"/>
      <c r="H36" s="349"/>
      <c r="I36" s="349"/>
      <c r="J36" s="349"/>
      <c r="K36" s="349"/>
      <c r="L36" s="22"/>
    </row>
    <row r="37" spans="1:15" x14ac:dyDescent="0.2">
      <c r="A37" s="349"/>
      <c r="B37" s="349"/>
      <c r="C37" s="349"/>
      <c r="D37" s="349"/>
      <c r="E37" s="351"/>
      <c r="F37" s="349"/>
      <c r="G37" s="435" t="s">
        <v>173</v>
      </c>
      <c r="H37" s="349"/>
      <c r="I37" s="349"/>
      <c r="J37" s="349"/>
      <c r="K37" s="349"/>
      <c r="L37" s="22"/>
    </row>
    <row r="38" spans="1:15" x14ac:dyDescent="0.2">
      <c r="A38" s="349"/>
      <c r="B38" s="349"/>
      <c r="C38" s="351"/>
      <c r="D38" s="349"/>
      <c r="E38" s="435" t="s">
        <v>180</v>
      </c>
      <c r="F38" s="349"/>
      <c r="G38" s="435" t="s">
        <v>206</v>
      </c>
      <c r="H38" s="349"/>
      <c r="I38" s="435" t="s">
        <v>181</v>
      </c>
      <c r="J38" s="349"/>
      <c r="K38" s="349"/>
      <c r="L38" s="22"/>
    </row>
    <row r="39" spans="1:15" ht="9.75" customHeight="1" x14ac:dyDescent="0.2">
      <c r="A39" s="349"/>
      <c r="B39" s="349"/>
      <c r="C39" s="351"/>
      <c r="D39" s="349"/>
      <c r="E39" s="355"/>
      <c r="F39" s="349"/>
      <c r="G39" s="355"/>
      <c r="H39" s="349"/>
      <c r="I39" s="355"/>
      <c r="J39" s="349"/>
      <c r="K39" s="349"/>
      <c r="L39" s="22"/>
    </row>
    <row r="40" spans="1:15" x14ac:dyDescent="0.2">
      <c r="A40" s="351"/>
      <c r="B40" s="349" t="s">
        <v>202</v>
      </c>
      <c r="C40" s="351"/>
      <c r="D40" s="349"/>
      <c r="E40" s="462">
        <v>1</v>
      </c>
      <c r="F40" s="349"/>
      <c r="G40" s="463">
        <f>ROUND(G13/24/60,0)</f>
        <v>28106</v>
      </c>
      <c r="H40" s="349"/>
      <c r="I40" s="464">
        <f>ROUND(+G40/G$48,4)</f>
        <v>0.35020000000000001</v>
      </c>
      <c r="J40" s="349"/>
      <c r="K40" s="349"/>
      <c r="L40" s="22"/>
      <c r="M40" s="24"/>
    </row>
    <row r="41" spans="1:15" x14ac:dyDescent="0.2">
      <c r="A41" s="351"/>
      <c r="B41" s="349" t="s">
        <v>194</v>
      </c>
      <c r="C41" s="351"/>
      <c r="D41" s="349"/>
      <c r="E41" s="462"/>
      <c r="F41" s="349"/>
      <c r="G41" s="463"/>
      <c r="H41" s="349"/>
      <c r="I41" s="464"/>
      <c r="J41" s="349"/>
      <c r="K41" s="349"/>
      <c r="L41" s="22"/>
      <c r="M41" s="24"/>
    </row>
    <row r="42" spans="1:15" x14ac:dyDescent="0.2">
      <c r="A42" s="351"/>
      <c r="B42" s="349" t="s">
        <v>183</v>
      </c>
      <c r="C42" s="351"/>
      <c r="D42" s="349"/>
      <c r="E42" s="462">
        <v>1.5</v>
      </c>
      <c r="F42" s="463"/>
      <c r="G42" s="463">
        <f>ROUND(+G40*E42,0)</f>
        <v>42159</v>
      </c>
      <c r="H42" s="464"/>
      <c r="I42" s="472">
        <f>ROUND(+G42/G$48,4)</f>
        <v>0.5252</v>
      </c>
      <c r="J42" s="349"/>
      <c r="K42" s="349"/>
      <c r="L42" s="22"/>
      <c r="M42" s="24"/>
    </row>
    <row r="43" spans="1:15" x14ac:dyDescent="0.2">
      <c r="A43" s="351"/>
      <c r="B43" s="349"/>
      <c r="C43" s="351"/>
      <c r="D43" s="349"/>
      <c r="E43" s="465"/>
      <c r="F43" s="463"/>
      <c r="G43" s="466"/>
      <c r="H43" s="464"/>
      <c r="I43" s="467"/>
      <c r="J43" s="349"/>
      <c r="K43" s="349"/>
      <c r="L43" s="22"/>
      <c r="M43" s="24"/>
    </row>
    <row r="44" spans="1:15" ht="15.75" thickBot="1" x14ac:dyDescent="0.25">
      <c r="A44" s="351"/>
      <c r="B44" s="349" t="s">
        <v>203</v>
      </c>
      <c r="C44" s="351"/>
      <c r="D44" s="349"/>
      <c r="E44" s="468">
        <f>SUM(E40:E43)</f>
        <v>2.5</v>
      </c>
      <c r="F44" s="463"/>
      <c r="G44" s="463">
        <f>SUM(G40:G43)</f>
        <v>70265</v>
      </c>
      <c r="H44" s="464"/>
      <c r="I44" s="464">
        <f>SUM(I40:I43)</f>
        <v>0.87539999999999996</v>
      </c>
      <c r="J44" s="349"/>
      <c r="K44" s="349"/>
      <c r="L44" s="22"/>
      <c r="M44" s="24"/>
    </row>
    <row r="45" spans="1:15" ht="9.75" customHeight="1" thickTop="1" x14ac:dyDescent="0.2">
      <c r="A45" s="351"/>
      <c r="B45" s="349"/>
      <c r="C45" s="351"/>
      <c r="D45" s="349"/>
      <c r="E45" s="380"/>
      <c r="F45" s="463"/>
      <c r="G45" s="463"/>
      <c r="H45" s="469"/>
      <c r="I45" s="464"/>
      <c r="J45" s="349"/>
      <c r="K45" s="349"/>
      <c r="L45" s="22"/>
      <c r="M45" s="24"/>
    </row>
    <row r="46" spans="1:15" x14ac:dyDescent="0.2">
      <c r="A46" s="351"/>
      <c r="B46" s="349" t="s">
        <v>187</v>
      </c>
      <c r="C46" s="349"/>
      <c r="D46" s="349"/>
      <c r="E46" s="351"/>
      <c r="F46" s="349"/>
      <c r="G46" s="463">
        <v>10000</v>
      </c>
      <c r="H46" s="349"/>
      <c r="I46" s="464">
        <f>ROUND(+G46/G$48,4)</f>
        <v>0.1246</v>
      </c>
      <c r="J46" s="349"/>
      <c r="K46" s="349"/>
      <c r="L46" s="22"/>
      <c r="O46" s="95"/>
    </row>
    <row r="47" spans="1:15" x14ac:dyDescent="0.2">
      <c r="A47" s="351"/>
      <c r="B47" s="349"/>
      <c r="C47" s="349"/>
      <c r="D47" s="349"/>
      <c r="E47" s="351"/>
      <c r="F47" s="349"/>
      <c r="G47" s="355"/>
      <c r="H47" s="349"/>
      <c r="I47" s="467"/>
      <c r="J47" s="349"/>
      <c r="K47" s="349"/>
      <c r="L47" s="22"/>
      <c r="O47" s="95"/>
    </row>
    <row r="48" spans="1:15" ht="15.75" thickBot="1" x14ac:dyDescent="0.25">
      <c r="A48" s="351"/>
      <c r="B48" s="349" t="s">
        <v>184</v>
      </c>
      <c r="C48" s="349"/>
      <c r="D48" s="349"/>
      <c r="E48" s="351"/>
      <c r="F48" s="349"/>
      <c r="G48" s="471">
        <f>SUM(G44:G46)</f>
        <v>80265</v>
      </c>
      <c r="H48" s="349"/>
      <c r="I48" s="464">
        <f>SUM(I44:I46)</f>
        <v>1</v>
      </c>
      <c r="J48" s="349"/>
      <c r="K48" s="349"/>
      <c r="L48" s="22"/>
      <c r="M48" s="24"/>
    </row>
    <row r="49" spans="1:17" ht="12.6" customHeight="1" thickTop="1" x14ac:dyDescent="0.2">
      <c r="A49" s="349"/>
      <c r="B49" s="349"/>
      <c r="C49" s="349"/>
      <c r="D49" s="349"/>
      <c r="E49" s="463"/>
      <c r="F49" s="349"/>
      <c r="G49" s="380"/>
      <c r="H49" s="349"/>
      <c r="I49" s="473"/>
      <c r="J49" s="349"/>
      <c r="K49" s="349"/>
      <c r="L49" s="22"/>
    </row>
    <row r="50" spans="1:17" ht="31.5" customHeight="1" x14ac:dyDescent="0.2">
      <c r="A50" s="717" t="s">
        <v>207</v>
      </c>
      <c r="B50" s="717"/>
      <c r="C50" s="717"/>
      <c r="D50" s="717"/>
      <c r="E50" s="717"/>
      <c r="F50" s="717"/>
      <c r="G50" s="717"/>
      <c r="H50" s="717"/>
      <c r="I50" s="717"/>
      <c r="J50" s="717"/>
      <c r="K50" s="717"/>
      <c r="L50" s="22"/>
    </row>
    <row r="51" spans="1:17" ht="10.15" customHeight="1" x14ac:dyDescent="0.2">
      <c r="A51" s="349"/>
      <c r="B51" s="349"/>
      <c r="C51" s="349"/>
      <c r="D51" s="349"/>
      <c r="E51" s="349"/>
      <c r="F51" s="349"/>
      <c r="G51" s="349"/>
      <c r="H51" s="349"/>
      <c r="I51" s="349"/>
      <c r="J51" s="349"/>
      <c r="K51" s="349"/>
      <c r="L51" s="22"/>
    </row>
    <row r="52" spans="1:17" x14ac:dyDescent="0.2">
      <c r="A52" s="349"/>
      <c r="B52" s="349"/>
      <c r="C52" s="349"/>
      <c r="D52" s="349"/>
      <c r="E52" s="435" t="s">
        <v>208</v>
      </c>
      <c r="F52" s="349"/>
      <c r="G52" s="351"/>
      <c r="H52" s="349"/>
      <c r="I52" s="349"/>
      <c r="J52" s="349"/>
      <c r="K52" s="349"/>
      <c r="L52" s="22"/>
    </row>
    <row r="53" spans="1:17" x14ac:dyDescent="0.2">
      <c r="A53" s="349"/>
      <c r="B53" s="349"/>
      <c r="C53" s="349"/>
      <c r="D53" s="349"/>
      <c r="E53" s="435" t="s">
        <v>209</v>
      </c>
      <c r="F53" s="349"/>
      <c r="G53" s="352" t="s">
        <v>210</v>
      </c>
      <c r="H53" s="352"/>
      <c r="I53" s="352"/>
      <c r="J53" s="352"/>
      <c r="K53" s="352"/>
      <c r="L53" s="22"/>
    </row>
    <row r="54" spans="1:17" x14ac:dyDescent="0.2">
      <c r="A54" s="352" t="s">
        <v>188</v>
      </c>
      <c r="B54" s="352"/>
      <c r="C54" s="352"/>
      <c r="D54" s="349"/>
      <c r="E54" s="435" t="s">
        <v>159</v>
      </c>
      <c r="F54" s="349"/>
      <c r="G54" s="353"/>
      <c r="H54" s="353"/>
      <c r="I54" s="353" t="s">
        <v>374</v>
      </c>
      <c r="J54" s="353"/>
      <c r="K54" s="353" t="s">
        <v>140</v>
      </c>
      <c r="L54" s="22"/>
    </row>
    <row r="55" spans="1:17" x14ac:dyDescent="0.2">
      <c r="A55" s="352" t="s">
        <v>141</v>
      </c>
      <c r="B55" s="352"/>
      <c r="C55" s="352"/>
      <c r="D55" s="349"/>
      <c r="E55" s="435" t="s">
        <v>415</v>
      </c>
      <c r="F55" s="349"/>
      <c r="G55" s="435" t="s">
        <v>174</v>
      </c>
      <c r="H55" s="435"/>
      <c r="I55" s="435" t="s">
        <v>211</v>
      </c>
      <c r="J55" s="435"/>
      <c r="K55" s="435" t="s">
        <v>142</v>
      </c>
      <c r="L55" s="22"/>
    </row>
    <row r="56" spans="1:17" x14ac:dyDescent="0.2">
      <c r="A56" s="354" t="s">
        <v>143</v>
      </c>
      <c r="B56" s="354"/>
      <c r="C56" s="354"/>
      <c r="D56" s="349"/>
      <c r="E56" s="353" t="s">
        <v>163</v>
      </c>
      <c r="F56" s="349"/>
      <c r="G56" s="353" t="s">
        <v>145</v>
      </c>
      <c r="H56" s="435"/>
      <c r="I56" s="353" t="s">
        <v>176</v>
      </c>
      <c r="J56" s="435"/>
      <c r="K56" s="353" t="s">
        <v>177</v>
      </c>
      <c r="L56" s="22"/>
      <c r="O56" s="198"/>
      <c r="P56" s="198"/>
      <c r="Q56" s="198"/>
    </row>
    <row r="57" spans="1:17" ht="10.7" customHeight="1" x14ac:dyDescent="0.2">
      <c r="A57" s="351"/>
      <c r="B57" s="351"/>
      <c r="C57" s="349"/>
      <c r="D57" s="349"/>
      <c r="E57" s="349"/>
      <c r="F57" s="349"/>
      <c r="G57" s="349"/>
      <c r="H57" s="349"/>
      <c r="I57" s="349"/>
      <c r="J57" s="349"/>
      <c r="K57" s="349"/>
      <c r="L57" s="22"/>
      <c r="O57" s="198"/>
      <c r="P57" s="198"/>
      <c r="Q57" s="198"/>
    </row>
    <row r="58" spans="1:17" x14ac:dyDescent="0.2">
      <c r="A58" s="349" t="s">
        <v>146</v>
      </c>
      <c r="B58" s="349"/>
      <c r="C58" s="349"/>
      <c r="D58" s="349"/>
      <c r="E58" s="474">
        <f>'F 3-4'!$D$45</f>
        <v>642.9</v>
      </c>
      <c r="F58" s="349"/>
      <c r="G58" s="475">
        <v>1.9</v>
      </c>
      <c r="H58" s="349"/>
      <c r="I58" s="469">
        <f>ROUND(E58*G58,1)</f>
        <v>1221.5</v>
      </c>
      <c r="J58" s="349"/>
      <c r="K58" s="464">
        <f>ROUND(+I58/I$64,4)</f>
        <v>0.56679999999999997</v>
      </c>
      <c r="L58" s="23"/>
      <c r="M58" s="286"/>
      <c r="O58" s="287"/>
      <c r="P58" s="198"/>
      <c r="Q58" s="199"/>
    </row>
    <row r="59" spans="1:17" x14ac:dyDescent="0.2">
      <c r="A59" s="349" t="s">
        <v>147</v>
      </c>
      <c r="B59" s="349"/>
      <c r="C59" s="349"/>
      <c r="D59" s="349"/>
      <c r="E59" s="474">
        <f>'F 3-4'!$D$46</f>
        <v>433.6</v>
      </c>
      <c r="F59" s="349"/>
      <c r="G59" s="475">
        <v>1.8</v>
      </c>
      <c r="H59" s="349"/>
      <c r="I59" s="469">
        <f>ROUND(E59*G59,1)</f>
        <v>780.5</v>
      </c>
      <c r="J59" s="349"/>
      <c r="K59" s="464">
        <f>ROUND(+I59/I$64,4)</f>
        <v>0.36220000000000002</v>
      </c>
      <c r="L59" s="23"/>
      <c r="M59" s="286"/>
      <c r="O59" s="287"/>
      <c r="P59" s="198"/>
      <c r="Q59" s="199"/>
    </row>
    <row r="60" spans="1:17" x14ac:dyDescent="0.2">
      <c r="A60" s="349" t="s">
        <v>148</v>
      </c>
      <c r="B60" s="349"/>
      <c r="C60" s="349"/>
      <c r="D60" s="349"/>
      <c r="E60" s="474">
        <f>'F 3-4'!$D$47</f>
        <v>5.7999999999999972</v>
      </c>
      <c r="F60" s="349"/>
      <c r="G60" s="475">
        <v>1.1499999999999999</v>
      </c>
      <c r="H60" s="349"/>
      <c r="I60" s="469">
        <f>ROUND(E60*G60,1)</f>
        <v>6.7</v>
      </c>
      <c r="J60" s="349"/>
      <c r="K60" s="464">
        <f>ROUND(+I60/I$64,4)</f>
        <v>3.0999999999999999E-3</v>
      </c>
      <c r="L60" s="23"/>
      <c r="M60" s="286"/>
      <c r="O60" s="287"/>
      <c r="P60" s="198"/>
      <c r="Q60" s="199"/>
    </row>
    <row r="61" spans="1:17" x14ac:dyDescent="0.2">
      <c r="A61" s="349" t="s">
        <v>150</v>
      </c>
      <c r="B61" s="349"/>
      <c r="C61" s="349"/>
      <c r="D61" s="349"/>
      <c r="E61" s="474">
        <f>'F 3-4'!D48</f>
        <v>133.1</v>
      </c>
      <c r="F61" s="349"/>
      <c r="G61" s="475">
        <v>1.1000000000000001</v>
      </c>
      <c r="H61" s="349"/>
      <c r="I61" s="469">
        <f>ROUND(E61*G61,1)</f>
        <v>146.4</v>
      </c>
      <c r="J61" s="349"/>
      <c r="K61" s="464">
        <f>ROUND(+I61/I$64,4)</f>
        <v>6.7900000000000002E-2</v>
      </c>
      <c r="L61" s="23"/>
      <c r="M61" s="286"/>
      <c r="O61" s="287"/>
      <c r="P61" s="198"/>
      <c r="Q61" s="199"/>
    </row>
    <row r="62" spans="1:17" x14ac:dyDescent="0.2">
      <c r="A62" s="349" t="s">
        <v>267</v>
      </c>
      <c r="B62" s="349"/>
      <c r="C62" s="349"/>
      <c r="D62" s="349"/>
      <c r="E62" s="474">
        <f>'F 3-4'!D49</f>
        <v>0</v>
      </c>
      <c r="F62" s="349"/>
      <c r="G62" s="475">
        <v>0.9</v>
      </c>
      <c r="H62" s="349"/>
      <c r="I62" s="469">
        <f>ROUND(E62*G62,1)</f>
        <v>0</v>
      </c>
      <c r="J62" s="349"/>
      <c r="K62" s="464">
        <f>ROUND(+I62/I$64,4)</f>
        <v>0</v>
      </c>
      <c r="L62" s="23"/>
      <c r="M62" s="286"/>
      <c r="O62" s="287"/>
      <c r="P62" s="198"/>
      <c r="Q62" s="199"/>
    </row>
    <row r="63" spans="1:17" ht="9.1999999999999993" customHeight="1" x14ac:dyDescent="0.2">
      <c r="A63" s="349"/>
      <c r="B63" s="349"/>
      <c r="C63" s="349"/>
      <c r="D63" s="349"/>
      <c r="E63" s="476"/>
      <c r="F63" s="349"/>
      <c r="G63" s="477"/>
      <c r="H63" s="349"/>
      <c r="I63" s="478"/>
      <c r="J63" s="349"/>
      <c r="K63" s="355"/>
      <c r="L63" s="22"/>
      <c r="O63" s="198"/>
      <c r="P63" s="198"/>
      <c r="Q63" s="76"/>
    </row>
    <row r="64" spans="1:17" ht="15.75" thickBot="1" x14ac:dyDescent="0.25">
      <c r="A64" s="349" t="s">
        <v>212</v>
      </c>
      <c r="B64" s="349"/>
      <c r="C64" s="349"/>
      <c r="D64" s="349"/>
      <c r="E64" s="474">
        <f>SUM(E58:E63)</f>
        <v>1215.3999999999999</v>
      </c>
      <c r="F64" s="469"/>
      <c r="G64" s="469"/>
      <c r="H64" s="469"/>
      <c r="I64" s="474">
        <f>SUM(I58:I63)</f>
        <v>2155.1</v>
      </c>
      <c r="J64" s="349"/>
      <c r="K64" s="479">
        <f>SUM(K58:K63)</f>
        <v>1</v>
      </c>
      <c r="L64" s="119"/>
      <c r="M64" s="412"/>
      <c r="O64" s="200"/>
      <c r="P64" s="198"/>
      <c r="Q64" s="199"/>
    </row>
    <row r="65" spans="1:17" ht="15.75" thickTop="1" x14ac:dyDescent="0.2">
      <c r="A65" s="382"/>
      <c r="B65" s="382"/>
      <c r="C65" s="382"/>
      <c r="D65" s="349"/>
      <c r="E65" s="383"/>
      <c r="F65" s="349"/>
      <c r="G65" s="349"/>
      <c r="H65" s="349"/>
      <c r="I65" s="381"/>
      <c r="J65" s="349"/>
      <c r="K65" s="380"/>
      <c r="L65" s="22"/>
      <c r="O65" s="198"/>
      <c r="P65" s="198"/>
      <c r="Q65" s="198"/>
    </row>
    <row r="66" spans="1:17" x14ac:dyDescent="0.2">
      <c r="A66" s="349" t="s">
        <v>213</v>
      </c>
      <c r="B66" s="349"/>
      <c r="C66" s="349"/>
      <c r="D66" s="349"/>
      <c r="E66" s="349"/>
      <c r="F66" s="349"/>
      <c r="G66" s="349"/>
      <c r="H66" s="349"/>
      <c r="I66" s="349"/>
      <c r="J66" s="349"/>
      <c r="K66" s="349"/>
      <c r="L66" s="22"/>
    </row>
    <row r="67" spans="1:17" ht="11.25" customHeight="1" x14ac:dyDescent="0.2">
      <c r="A67" s="349"/>
      <c r="B67" s="349"/>
      <c r="C67" s="349"/>
      <c r="D67" s="349"/>
      <c r="E67" s="349"/>
      <c r="F67" s="349"/>
      <c r="G67" s="349"/>
      <c r="H67" s="349"/>
      <c r="I67" s="349"/>
      <c r="J67" s="349"/>
      <c r="K67" s="349"/>
      <c r="L67" s="22"/>
    </row>
    <row r="68" spans="1:17" ht="29.25" customHeight="1" x14ac:dyDescent="0.2">
      <c r="A68" s="717" t="s">
        <v>122</v>
      </c>
      <c r="B68" s="717"/>
      <c r="C68" s="717"/>
      <c r="D68" s="717"/>
      <c r="E68" s="717"/>
      <c r="F68" s="717"/>
      <c r="G68" s="717"/>
      <c r="H68" s="717"/>
      <c r="I68" s="717"/>
      <c r="J68" s="717"/>
      <c r="K68" s="717"/>
      <c r="L68" s="22"/>
    </row>
    <row r="69" spans="1:17" x14ac:dyDescent="0.2">
      <c r="A69" s="349"/>
      <c r="B69" s="349"/>
      <c r="C69" s="349"/>
      <c r="D69" s="349"/>
      <c r="E69" s="349"/>
      <c r="F69" s="349"/>
      <c r="G69" s="349"/>
      <c r="H69" s="349"/>
      <c r="I69" s="349"/>
      <c r="J69" s="349"/>
      <c r="K69" s="349"/>
      <c r="L69" s="22"/>
    </row>
  </sheetData>
  <mergeCells count="6">
    <mergeCell ref="A3:K3"/>
    <mergeCell ref="A68:K68"/>
    <mergeCell ref="A8:K8"/>
    <mergeCell ref="A24:K24"/>
    <mergeCell ref="A35:K35"/>
    <mergeCell ref="A50:K50"/>
  </mergeCells>
  <phoneticPr fontId="13" type="noConversion"/>
  <printOptions horizontalCentered="1"/>
  <pageMargins left="1" right="1" top="1" bottom="0.5" header="0.5" footer="0.5"/>
  <pageSetup scale="94" orientation="portrait" r:id="rId1"/>
  <headerFooter alignWithMargins="0"/>
  <rowBreaks count="1" manualBreakCount="1">
    <brk id="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AE65"/>
  <sheetViews>
    <sheetView workbookViewId="0">
      <selection activeCell="S27" sqref="S27"/>
    </sheetView>
  </sheetViews>
  <sheetFormatPr defaultColWidth="9.77734375" defaultRowHeight="15" x14ac:dyDescent="0.2"/>
  <cols>
    <col min="1" max="2" width="7.77734375" style="28" customWidth="1"/>
    <col min="3" max="3" width="2.21875" style="28" customWidth="1"/>
    <col min="4" max="4" width="7.77734375" style="28" customWidth="1"/>
    <col min="5" max="5" width="2.21875" style="28" customWidth="1"/>
    <col min="6" max="6" width="7.77734375" style="28" customWidth="1"/>
    <col min="7" max="7" width="2.109375" style="28" customWidth="1"/>
    <col min="8" max="8" width="7.77734375" style="28" customWidth="1"/>
    <col min="9" max="9" width="2.109375" style="28" customWidth="1"/>
    <col min="10" max="10" width="7.77734375" style="28" customWidth="1"/>
    <col min="11" max="11" width="2.109375" style="28" customWidth="1"/>
    <col min="12" max="12" width="7.77734375" style="28" customWidth="1"/>
    <col min="13" max="13" width="2.109375" style="28" customWidth="1"/>
    <col min="14" max="14" width="7.77734375" style="28" customWidth="1"/>
    <col min="15" max="15" width="2.109375" style="28" customWidth="1"/>
    <col min="16" max="16" width="7.77734375" style="28" customWidth="1"/>
    <col min="17" max="17" width="2.109375" style="28" customWidth="1"/>
    <col min="18" max="18" width="11.21875" style="28" customWidth="1"/>
    <col min="19" max="22" width="9.77734375" style="28" customWidth="1"/>
    <col min="23" max="23" width="10.77734375" style="28" customWidth="1"/>
    <col min="24" max="25" width="6.77734375" style="28" customWidth="1"/>
    <col min="26" max="28" width="7.77734375" style="28" customWidth="1"/>
    <col min="29" max="29" width="4.77734375" style="28" customWidth="1"/>
    <col min="30" max="16384" width="9.77734375" style="28"/>
  </cols>
  <sheetData>
    <row r="1" spans="1:31" x14ac:dyDescent="0.2">
      <c r="A1" s="15" t="s">
        <v>7</v>
      </c>
      <c r="B1" s="26"/>
      <c r="C1" s="26"/>
      <c r="D1" s="26"/>
      <c r="E1" s="26"/>
      <c r="F1" s="26"/>
      <c r="G1" s="25"/>
      <c r="H1" s="26"/>
      <c r="I1" s="26"/>
      <c r="J1" s="26"/>
      <c r="K1" s="26"/>
      <c r="L1" s="26"/>
      <c r="M1" s="26"/>
      <c r="N1" s="26"/>
      <c r="O1" s="26"/>
      <c r="P1" s="26"/>
      <c r="Q1" s="26"/>
      <c r="R1" s="26"/>
      <c r="S1" s="27"/>
      <c r="T1" s="27"/>
      <c r="U1" s="27"/>
      <c r="V1" s="27"/>
      <c r="W1" s="27"/>
      <c r="X1" s="27"/>
      <c r="Y1" s="27"/>
      <c r="Z1" s="27"/>
      <c r="AA1" s="27"/>
      <c r="AB1" s="27"/>
      <c r="AC1" s="27"/>
      <c r="AD1" s="27"/>
      <c r="AE1" s="27"/>
    </row>
    <row r="2" spans="1:31" x14ac:dyDescent="0.2">
      <c r="A2" s="26"/>
      <c r="B2" s="26"/>
      <c r="C2" s="26"/>
      <c r="D2" s="26"/>
      <c r="E2" s="26"/>
      <c r="F2" s="26"/>
      <c r="G2" s="26"/>
      <c r="H2" s="26"/>
      <c r="I2" s="26"/>
      <c r="J2" s="26"/>
      <c r="K2" s="26"/>
      <c r="L2" s="26"/>
      <c r="M2" s="26"/>
      <c r="N2" s="26"/>
      <c r="O2" s="26"/>
      <c r="P2" s="26"/>
      <c r="Q2" s="26"/>
      <c r="R2" s="26"/>
      <c r="S2" s="27"/>
      <c r="T2" s="27"/>
      <c r="U2" s="27"/>
      <c r="V2" s="27"/>
      <c r="W2" s="27"/>
      <c r="X2" s="27"/>
      <c r="Y2" s="27"/>
      <c r="Z2" s="27"/>
      <c r="AA2" s="27"/>
      <c r="AB2" s="27"/>
      <c r="AC2" s="27"/>
      <c r="AD2" s="27"/>
      <c r="AE2" s="27"/>
    </row>
    <row r="3" spans="1:31" x14ac:dyDescent="0.2">
      <c r="A3" s="356" t="s">
        <v>170</v>
      </c>
      <c r="B3" s="439"/>
      <c r="C3" s="356"/>
      <c r="D3" s="356"/>
      <c r="E3" s="356"/>
      <c r="F3" s="356"/>
      <c r="G3" s="356"/>
      <c r="H3" s="356"/>
      <c r="I3" s="356"/>
      <c r="J3" s="356"/>
      <c r="K3" s="356"/>
      <c r="L3" s="356"/>
      <c r="M3" s="356"/>
      <c r="N3" s="356"/>
      <c r="O3" s="356"/>
      <c r="P3" s="356"/>
      <c r="Q3" s="356"/>
      <c r="R3" s="356"/>
      <c r="S3" s="27"/>
      <c r="T3" s="27"/>
      <c r="U3" s="27"/>
      <c r="V3" s="27"/>
      <c r="W3" s="27"/>
      <c r="X3" s="27"/>
      <c r="Y3" s="27"/>
      <c r="Z3" s="27"/>
      <c r="AA3" s="27"/>
      <c r="AB3" s="27"/>
      <c r="AC3" s="27"/>
      <c r="AD3" s="27"/>
      <c r="AE3" s="27"/>
    </row>
    <row r="4" spans="1:31" x14ac:dyDescent="0.2">
      <c r="A4" s="357"/>
      <c r="B4" s="357"/>
      <c r="C4" s="357"/>
      <c r="D4" s="357"/>
      <c r="E4" s="357"/>
      <c r="F4" s="357"/>
      <c r="G4" s="357"/>
      <c r="H4" s="357"/>
      <c r="I4" s="357"/>
      <c r="J4" s="357"/>
      <c r="K4" s="357"/>
      <c r="L4" s="357"/>
      <c r="M4" s="357"/>
      <c r="N4" s="357"/>
      <c r="O4" s="357"/>
      <c r="P4" s="357"/>
      <c r="Q4" s="357"/>
      <c r="R4" s="357"/>
      <c r="S4" s="27"/>
      <c r="T4" s="27"/>
      <c r="U4" s="27"/>
      <c r="V4" s="27"/>
      <c r="W4" s="27"/>
      <c r="X4" s="27"/>
      <c r="Y4" s="27"/>
      <c r="Z4" s="27"/>
      <c r="AA4" s="27"/>
      <c r="AB4" s="27"/>
      <c r="AC4" s="27"/>
      <c r="AD4" s="27"/>
      <c r="AE4" s="27"/>
    </row>
    <row r="5" spans="1:31" x14ac:dyDescent="0.2">
      <c r="A5" s="357" t="s">
        <v>214</v>
      </c>
      <c r="B5" s="357"/>
      <c r="C5" s="357"/>
      <c r="D5" s="357"/>
      <c r="E5" s="357"/>
      <c r="F5" s="357"/>
      <c r="G5" s="357"/>
      <c r="H5" s="357"/>
      <c r="I5" s="357"/>
      <c r="J5" s="357"/>
      <c r="K5" s="357"/>
      <c r="L5" s="357"/>
      <c r="M5" s="357"/>
      <c r="N5" s="357"/>
      <c r="O5" s="357"/>
      <c r="P5" s="357"/>
      <c r="Q5" s="357"/>
      <c r="R5" s="357"/>
      <c r="S5" s="27"/>
      <c r="T5" s="27"/>
      <c r="U5" s="27"/>
      <c r="V5" s="27"/>
      <c r="W5" s="27"/>
      <c r="X5" s="27"/>
      <c r="Y5" s="27"/>
      <c r="Z5" s="27"/>
      <c r="AA5" s="27"/>
      <c r="AB5" s="27"/>
      <c r="AC5" s="27"/>
      <c r="AD5" s="27"/>
      <c r="AE5" s="27"/>
    </row>
    <row r="6" spans="1:31" x14ac:dyDescent="0.2">
      <c r="A6" s="357"/>
      <c r="B6" s="357"/>
      <c r="C6" s="357"/>
      <c r="D6" s="357"/>
      <c r="E6" s="357"/>
      <c r="F6" s="357"/>
      <c r="G6" s="357"/>
      <c r="H6" s="357"/>
      <c r="I6" s="357"/>
      <c r="J6" s="357"/>
      <c r="K6" s="357"/>
      <c r="L6" s="357"/>
      <c r="M6" s="357"/>
      <c r="N6" s="357"/>
      <c r="O6" s="357"/>
      <c r="P6" s="357"/>
      <c r="Q6" s="357"/>
      <c r="R6" s="357"/>
      <c r="S6" s="27"/>
      <c r="T6" s="27"/>
      <c r="U6" s="27"/>
      <c r="V6" s="27"/>
      <c r="W6" s="27"/>
      <c r="X6" s="27"/>
      <c r="Y6" s="27"/>
      <c r="Z6" s="27"/>
      <c r="AA6" s="27"/>
      <c r="AB6" s="27"/>
      <c r="AC6" s="27"/>
      <c r="AD6" s="27"/>
      <c r="AE6" s="27"/>
    </row>
    <row r="7" spans="1:31" ht="27.6" customHeight="1" x14ac:dyDescent="0.2">
      <c r="A7" s="718" t="s">
        <v>215</v>
      </c>
      <c r="B7" s="718"/>
      <c r="C7" s="718"/>
      <c r="D7" s="718"/>
      <c r="E7" s="718"/>
      <c r="F7" s="718"/>
      <c r="G7" s="718"/>
      <c r="H7" s="718"/>
      <c r="I7" s="718"/>
      <c r="J7" s="718"/>
      <c r="K7" s="718"/>
      <c r="L7" s="718"/>
      <c r="M7" s="718"/>
      <c r="N7" s="718"/>
      <c r="O7" s="718"/>
      <c r="P7" s="718"/>
      <c r="Q7" s="718"/>
      <c r="R7" s="718"/>
      <c r="S7" s="27"/>
      <c r="T7" s="27"/>
      <c r="U7" s="27"/>
      <c r="V7" s="27"/>
      <c r="W7" s="27"/>
      <c r="X7" s="27"/>
      <c r="Y7" s="27"/>
      <c r="Z7" s="27"/>
      <c r="AA7" s="27"/>
      <c r="AB7" s="27"/>
      <c r="AC7" s="27"/>
      <c r="AD7" s="27"/>
      <c r="AE7" s="27"/>
    </row>
    <row r="8" spans="1:31" x14ac:dyDescent="0.2">
      <c r="A8" s="357"/>
      <c r="B8" s="357"/>
      <c r="C8" s="357"/>
      <c r="D8" s="357"/>
      <c r="E8" s="357"/>
      <c r="F8" s="357"/>
      <c r="G8" s="357"/>
      <c r="H8" s="357"/>
      <c r="I8" s="357"/>
      <c r="J8" s="358"/>
      <c r="K8" s="357"/>
      <c r="L8" s="357"/>
      <c r="M8" s="357"/>
      <c r="N8" s="357"/>
      <c r="O8" s="357"/>
      <c r="P8" s="357"/>
      <c r="Q8" s="357"/>
      <c r="R8" s="357"/>
      <c r="S8" s="27"/>
      <c r="T8" s="27"/>
      <c r="U8" s="27"/>
      <c r="V8" s="27"/>
      <c r="W8" s="27"/>
      <c r="X8" s="27"/>
      <c r="Y8" s="27"/>
      <c r="Z8" s="27"/>
      <c r="AA8" s="27"/>
      <c r="AB8" s="27"/>
      <c r="AC8" s="27"/>
      <c r="AD8" s="27"/>
      <c r="AE8" s="27"/>
    </row>
    <row r="9" spans="1:31" x14ac:dyDescent="0.2">
      <c r="A9" s="357"/>
      <c r="B9" s="357"/>
      <c r="C9" s="357"/>
      <c r="D9" s="358"/>
      <c r="E9" s="357"/>
      <c r="F9" s="357"/>
      <c r="G9" s="357"/>
      <c r="H9" s="357"/>
      <c r="I9" s="357"/>
      <c r="J9" s="356" t="s">
        <v>194</v>
      </c>
      <c r="K9" s="356"/>
      <c r="L9" s="356"/>
      <c r="M9" s="357"/>
      <c r="N9" s="358"/>
      <c r="O9" s="357"/>
      <c r="P9" s="357"/>
      <c r="Q9" s="357"/>
      <c r="R9" s="357"/>
      <c r="S9" s="27"/>
      <c r="T9" s="27"/>
      <c r="U9" s="27"/>
      <c r="V9" s="27"/>
      <c r="W9" s="27"/>
      <c r="X9" s="27"/>
      <c r="Y9" s="27"/>
      <c r="Z9" s="27"/>
      <c r="AA9" s="27"/>
      <c r="AB9" s="27"/>
      <c r="AC9" s="27"/>
      <c r="AD9" s="27"/>
      <c r="AE9" s="27"/>
    </row>
    <row r="10" spans="1:31" x14ac:dyDescent="0.2">
      <c r="A10" s="357"/>
      <c r="B10" s="357"/>
      <c r="C10" s="357"/>
      <c r="D10" s="356" t="s">
        <v>195</v>
      </c>
      <c r="E10" s="356"/>
      <c r="F10" s="356"/>
      <c r="G10" s="356"/>
      <c r="H10" s="356"/>
      <c r="I10" s="357"/>
      <c r="J10" s="356" t="s">
        <v>160</v>
      </c>
      <c r="K10" s="356"/>
      <c r="L10" s="356"/>
      <c r="M10" s="357"/>
      <c r="N10" s="356" t="s">
        <v>187</v>
      </c>
      <c r="O10" s="356"/>
      <c r="P10" s="356"/>
      <c r="Q10" s="357"/>
      <c r="R10" s="357"/>
      <c r="S10" s="27"/>
      <c r="T10" s="27"/>
      <c r="U10" s="27"/>
      <c r="V10" s="27"/>
      <c r="W10" s="27"/>
      <c r="X10" s="27"/>
      <c r="Y10" s="27"/>
      <c r="Z10" s="27"/>
      <c r="AA10" s="27"/>
      <c r="AB10" s="27"/>
      <c r="AC10" s="27"/>
      <c r="AD10" s="27"/>
      <c r="AE10" s="27"/>
    </row>
    <row r="11" spans="1:31" x14ac:dyDescent="0.2">
      <c r="A11" s="356" t="s">
        <v>188</v>
      </c>
      <c r="B11" s="356"/>
      <c r="C11" s="357"/>
      <c r="D11" s="359" t="s">
        <v>416</v>
      </c>
      <c r="E11" s="359"/>
      <c r="F11" s="359" t="s">
        <v>140</v>
      </c>
      <c r="G11" s="359"/>
      <c r="H11" s="359" t="s">
        <v>161</v>
      </c>
      <c r="I11" s="360"/>
      <c r="J11" s="359" t="s">
        <v>140</v>
      </c>
      <c r="K11" s="359"/>
      <c r="L11" s="359" t="s">
        <v>161</v>
      </c>
      <c r="M11" s="360"/>
      <c r="N11" s="359" t="s">
        <v>140</v>
      </c>
      <c r="O11" s="359"/>
      <c r="P11" s="359" t="s">
        <v>161</v>
      </c>
      <c r="Q11" s="360"/>
      <c r="R11" s="360" t="s">
        <v>140</v>
      </c>
      <c r="S11" s="27"/>
      <c r="T11" s="27"/>
      <c r="U11" s="27"/>
      <c r="V11" s="27"/>
      <c r="W11" s="27"/>
      <c r="X11" s="27"/>
      <c r="Y11" s="27"/>
      <c r="Z11" s="27"/>
      <c r="AA11" s="27"/>
      <c r="AB11" s="27"/>
      <c r="AC11" s="27"/>
      <c r="AD11" s="27"/>
      <c r="AE11" s="27"/>
    </row>
    <row r="12" spans="1:31" x14ac:dyDescent="0.2">
      <c r="A12" s="356" t="s">
        <v>141</v>
      </c>
      <c r="B12" s="356"/>
      <c r="C12" s="357"/>
      <c r="D12" s="360" t="s">
        <v>307</v>
      </c>
      <c r="E12" s="360"/>
      <c r="F12" s="360" t="s">
        <v>142</v>
      </c>
      <c r="G12" s="360"/>
      <c r="H12" s="360" t="s">
        <v>142</v>
      </c>
      <c r="I12" s="360"/>
      <c r="J12" s="360" t="s">
        <v>142</v>
      </c>
      <c r="K12" s="360"/>
      <c r="L12" s="360" t="s">
        <v>142</v>
      </c>
      <c r="M12" s="360"/>
      <c r="N12" s="360" t="s">
        <v>142</v>
      </c>
      <c r="O12" s="360"/>
      <c r="P12" s="360" t="s">
        <v>142</v>
      </c>
      <c r="Q12" s="360"/>
      <c r="R12" s="360" t="s">
        <v>142</v>
      </c>
      <c r="S12" s="27"/>
      <c r="T12" s="27"/>
      <c r="U12" s="27"/>
      <c r="V12" s="27"/>
      <c r="W12" s="27"/>
      <c r="X12" s="27"/>
      <c r="Y12" s="27"/>
      <c r="Z12" s="27"/>
      <c r="AA12" s="27"/>
      <c r="AB12" s="27"/>
      <c r="AC12" s="27"/>
      <c r="AD12" s="27"/>
      <c r="AE12" s="27"/>
    </row>
    <row r="13" spans="1:31" x14ac:dyDescent="0.2">
      <c r="A13" s="361" t="s">
        <v>143</v>
      </c>
      <c r="B13" s="361"/>
      <c r="C13" s="357"/>
      <c r="D13" s="359" t="s">
        <v>163</v>
      </c>
      <c r="E13" s="357"/>
      <c r="F13" s="359" t="s">
        <v>145</v>
      </c>
      <c r="G13" s="357"/>
      <c r="H13" s="362" t="s">
        <v>196</v>
      </c>
      <c r="I13" s="357"/>
      <c r="J13" s="359" t="s">
        <v>177</v>
      </c>
      <c r="K13" s="357"/>
      <c r="L13" s="362" t="s">
        <v>197</v>
      </c>
      <c r="M13" s="357"/>
      <c r="N13" s="359" t="s">
        <v>198</v>
      </c>
      <c r="O13" s="357"/>
      <c r="P13" s="362" t="s">
        <v>199</v>
      </c>
      <c r="Q13" s="357"/>
      <c r="R13" s="359" t="s">
        <v>200</v>
      </c>
      <c r="S13" s="27"/>
      <c r="T13" s="27"/>
      <c r="U13" s="27"/>
      <c r="V13" s="27"/>
      <c r="W13" s="27"/>
      <c r="X13" s="27"/>
      <c r="Y13" s="27"/>
      <c r="Z13" s="27"/>
      <c r="AA13" s="27"/>
      <c r="AB13" s="27"/>
      <c r="AC13" s="27"/>
      <c r="AD13" s="27"/>
      <c r="AE13" s="27"/>
    </row>
    <row r="14" spans="1:31" x14ac:dyDescent="0.2">
      <c r="A14" s="357"/>
      <c r="B14" s="357"/>
      <c r="C14" s="357"/>
      <c r="D14" s="357"/>
      <c r="E14" s="357"/>
      <c r="F14" s="357"/>
      <c r="G14" s="357"/>
      <c r="H14" s="363">
        <f>'F 5B'!$H$22</f>
        <v>0.31190000000000001</v>
      </c>
      <c r="I14" s="363"/>
      <c r="J14" s="363"/>
      <c r="K14" s="363"/>
      <c r="L14" s="363">
        <f>'F 5B'!$H$25</f>
        <v>0.46789999999999998</v>
      </c>
      <c r="M14" s="363"/>
      <c r="N14" s="363"/>
      <c r="O14" s="363"/>
      <c r="P14" s="363">
        <f>'F 5B'!$H$10</f>
        <v>0.22020000000000001</v>
      </c>
      <c r="Q14" s="363"/>
      <c r="R14" s="357"/>
      <c r="S14" s="27"/>
      <c r="T14" s="27"/>
      <c r="U14" s="27"/>
      <c r="V14" s="27"/>
      <c r="W14" s="27"/>
      <c r="X14" s="27"/>
      <c r="Y14" s="27"/>
      <c r="Z14" s="27"/>
      <c r="AA14" s="27"/>
      <c r="AB14" s="27"/>
      <c r="AC14" s="27"/>
      <c r="AD14" s="27"/>
      <c r="AE14" s="27"/>
    </row>
    <row r="15" spans="1:31" x14ac:dyDescent="0.2">
      <c r="A15" s="357"/>
      <c r="B15" s="357"/>
      <c r="C15" s="357"/>
      <c r="D15" s="357"/>
      <c r="E15" s="357"/>
      <c r="F15" s="357"/>
      <c r="G15" s="357"/>
      <c r="H15" s="357"/>
      <c r="I15" s="357"/>
      <c r="J15" s="357"/>
      <c r="K15" s="357"/>
      <c r="L15" s="357"/>
      <c r="M15" s="357"/>
      <c r="N15" s="357"/>
      <c r="O15" s="357"/>
      <c r="P15" s="357"/>
      <c r="Q15" s="357"/>
      <c r="R15" s="357"/>
      <c r="S15" s="27"/>
      <c r="T15" s="27"/>
      <c r="U15" s="27"/>
      <c r="V15" s="27"/>
      <c r="W15" s="27"/>
      <c r="X15" s="27"/>
      <c r="Y15" s="27"/>
      <c r="Z15" s="27"/>
      <c r="AA15" s="27"/>
      <c r="AB15" s="27"/>
      <c r="AC15" s="27"/>
      <c r="AD15" s="27"/>
      <c r="AE15" s="27"/>
    </row>
    <row r="16" spans="1:31" x14ac:dyDescent="0.2">
      <c r="A16" s="357" t="s">
        <v>146</v>
      </c>
      <c r="B16" s="357"/>
      <c r="C16" s="357"/>
      <c r="D16" s="565">
        <f>ROUND(('F 1-2'!$G$15/24),1)</f>
        <v>642.9</v>
      </c>
      <c r="E16" s="357"/>
      <c r="F16" s="363">
        <f>ROUND(+D16/$D$24,4)</f>
        <v>0.48080000000000001</v>
      </c>
      <c r="G16" s="357"/>
      <c r="H16" s="363">
        <f>ROUND(F16*$H$14,4)</f>
        <v>0.15</v>
      </c>
      <c r="I16" s="357"/>
      <c r="J16" s="363">
        <f>+'F 5B'!J36</f>
        <v>0.5373</v>
      </c>
      <c r="K16" s="357"/>
      <c r="L16" s="566">
        <f>ROUND(J16*$L$14,4)+0.0001</f>
        <v>0.2515</v>
      </c>
      <c r="M16" s="357"/>
      <c r="N16" s="363"/>
      <c r="O16" s="357"/>
      <c r="P16" s="363"/>
      <c r="Q16" s="357"/>
      <c r="R16" s="363">
        <f t="shared" ref="R16:R22" si="0">H16+L16+P16</f>
        <v>0.40149999999999997</v>
      </c>
      <c r="S16" s="27"/>
      <c r="T16" s="29"/>
      <c r="U16" s="27"/>
      <c r="V16" s="27"/>
      <c r="W16" s="27"/>
      <c r="X16" s="27"/>
      <c r="Y16" s="27"/>
      <c r="Z16" s="27"/>
      <c r="AA16" s="27"/>
      <c r="AB16" s="27"/>
      <c r="AC16" s="27"/>
      <c r="AD16" s="27"/>
      <c r="AE16" s="27"/>
    </row>
    <row r="17" spans="1:31" x14ac:dyDescent="0.2">
      <c r="A17" s="357" t="s">
        <v>147</v>
      </c>
      <c r="B17" s="357"/>
      <c r="C17" s="357"/>
      <c r="D17" s="565">
        <f>ROUND(('F 1-2'!$G$16/24),1)</f>
        <v>433.6</v>
      </c>
      <c r="E17" s="357"/>
      <c r="F17" s="363">
        <f t="shared" ref="F17:F22" si="1">ROUND(+D17/$D$24,4)</f>
        <v>0.32429999999999998</v>
      </c>
      <c r="G17" s="357"/>
      <c r="H17" s="363">
        <f t="shared" ref="H17:H22" si="2">ROUND(F17*$H$14,4)</f>
        <v>0.1011</v>
      </c>
      <c r="I17" s="357"/>
      <c r="J17" s="363">
        <f>+'F 5B'!J37</f>
        <v>0.34329999999999999</v>
      </c>
      <c r="K17" s="357"/>
      <c r="L17" s="363">
        <f>ROUND(J17*$L$14,4)</f>
        <v>0.16059999999999999</v>
      </c>
      <c r="M17" s="357"/>
      <c r="N17" s="357"/>
      <c r="O17" s="357"/>
      <c r="P17" s="357"/>
      <c r="Q17" s="357"/>
      <c r="R17" s="363">
        <f t="shared" si="0"/>
        <v>0.26169999999999999</v>
      </c>
      <c r="S17" s="27"/>
      <c r="T17" s="29"/>
      <c r="U17" s="27"/>
      <c r="V17" s="27"/>
      <c r="W17" s="27"/>
      <c r="X17" s="27"/>
      <c r="Y17" s="27"/>
      <c r="Z17" s="27"/>
      <c r="AA17" s="27"/>
      <c r="AB17" s="27"/>
      <c r="AC17" s="27"/>
      <c r="AD17" s="27"/>
      <c r="AE17" s="27"/>
    </row>
    <row r="18" spans="1:31" x14ac:dyDescent="0.2">
      <c r="A18" s="357" t="s">
        <v>148</v>
      </c>
      <c r="B18" s="357"/>
      <c r="C18" s="357"/>
      <c r="D18" s="565">
        <f>ROUND(('F 1-2'!$G$17/24),1)</f>
        <v>70.5</v>
      </c>
      <c r="E18" s="357"/>
      <c r="F18" s="363">
        <f t="shared" si="1"/>
        <v>5.2699999999999997E-2</v>
      </c>
      <c r="G18" s="357"/>
      <c r="H18" s="363">
        <f t="shared" si="2"/>
        <v>1.6400000000000001E-2</v>
      </c>
      <c r="I18" s="357"/>
      <c r="J18" s="363">
        <f>+'F 5B'!J38</f>
        <v>3.5700000000000003E-2</v>
      </c>
      <c r="K18" s="357"/>
      <c r="L18" s="363">
        <f>ROUND(J18*$L$14,4)</f>
        <v>1.67E-2</v>
      </c>
      <c r="M18" s="357"/>
      <c r="N18" s="357"/>
      <c r="O18" s="357"/>
      <c r="P18" s="357"/>
      <c r="Q18" s="357"/>
      <c r="R18" s="363">
        <f t="shared" si="0"/>
        <v>3.3100000000000004E-2</v>
      </c>
      <c r="S18" s="27"/>
      <c r="T18" s="29"/>
      <c r="U18" s="27"/>
      <c r="V18" s="27"/>
      <c r="W18" s="27"/>
      <c r="X18" s="27"/>
      <c r="Y18" s="27"/>
      <c r="Z18" s="27"/>
      <c r="AA18" s="27"/>
      <c r="AB18" s="27"/>
      <c r="AC18" s="27"/>
      <c r="AD18" s="27"/>
      <c r="AE18" s="27"/>
    </row>
    <row r="19" spans="1:31" x14ac:dyDescent="0.2">
      <c r="A19" s="357" t="s">
        <v>150</v>
      </c>
      <c r="B19" s="357"/>
      <c r="C19" s="357"/>
      <c r="D19" s="565">
        <f>ROUND(('F 1-2'!$G$18/24),1)</f>
        <v>133.1</v>
      </c>
      <c r="E19" s="357"/>
      <c r="F19" s="363">
        <f t="shared" si="1"/>
        <v>9.9500000000000005E-2</v>
      </c>
      <c r="G19" s="357"/>
      <c r="H19" s="363">
        <f t="shared" si="2"/>
        <v>3.1E-2</v>
      </c>
      <c r="I19" s="357"/>
      <c r="J19" s="363">
        <f>+'F 5B'!J39</f>
        <v>6.4399999999999999E-2</v>
      </c>
      <c r="K19" s="357"/>
      <c r="L19" s="363">
        <f>ROUND(J19*$L$14,4)</f>
        <v>3.0099999999999998E-2</v>
      </c>
      <c r="M19" s="357"/>
      <c r="N19" s="357"/>
      <c r="O19" s="357"/>
      <c r="P19" s="357"/>
      <c r="Q19" s="357"/>
      <c r="R19" s="363">
        <f t="shared" si="0"/>
        <v>6.1100000000000002E-2</v>
      </c>
      <c r="S19" s="27"/>
      <c r="T19" s="29"/>
      <c r="U19" s="27"/>
      <c r="V19" s="27"/>
      <c r="W19" s="27"/>
      <c r="X19" s="27"/>
      <c r="Y19" s="27"/>
      <c r="Z19" s="27"/>
      <c r="AA19" s="27"/>
      <c r="AB19" s="27"/>
      <c r="AC19" s="27"/>
      <c r="AD19" s="27"/>
      <c r="AE19" s="27"/>
    </row>
    <row r="20" spans="1:31" x14ac:dyDescent="0.2">
      <c r="A20" s="357" t="s">
        <v>267</v>
      </c>
      <c r="B20" s="357"/>
      <c r="C20" s="357"/>
      <c r="D20" s="565">
        <f>ROUND(('F 1-2'!$G$19/24),1)</f>
        <v>48.7</v>
      </c>
      <c r="E20" s="357"/>
      <c r="F20" s="363">
        <f t="shared" si="1"/>
        <v>3.6400000000000002E-2</v>
      </c>
      <c r="G20" s="357"/>
      <c r="H20" s="363">
        <f t="shared" si="2"/>
        <v>1.14E-2</v>
      </c>
      <c r="I20" s="357"/>
      <c r="J20" s="363">
        <f>+'F 5B'!J40</f>
        <v>1.9300000000000001E-2</v>
      </c>
      <c r="K20" s="357"/>
      <c r="L20" s="363">
        <f>ROUND(J20*$L$14,4)</f>
        <v>8.9999999999999993E-3</v>
      </c>
      <c r="M20" s="357"/>
      <c r="N20" s="357"/>
      <c r="O20" s="357"/>
      <c r="P20" s="357"/>
      <c r="Q20" s="357"/>
      <c r="R20" s="363">
        <f t="shared" si="0"/>
        <v>2.0400000000000001E-2</v>
      </c>
      <c r="S20" s="27"/>
      <c r="T20" s="29"/>
      <c r="U20" s="27"/>
      <c r="V20" s="27"/>
      <c r="W20" s="27"/>
      <c r="X20" s="27"/>
      <c r="Y20" s="27"/>
      <c r="Z20" s="27"/>
      <c r="AA20" s="27"/>
      <c r="AB20" s="27"/>
      <c r="AC20" s="27"/>
      <c r="AD20" s="27"/>
      <c r="AE20" s="27"/>
    </row>
    <row r="21" spans="1:31" x14ac:dyDescent="0.2">
      <c r="A21" s="357" t="s">
        <v>152</v>
      </c>
      <c r="B21" s="357"/>
      <c r="C21" s="357"/>
      <c r="D21" s="565">
        <f>ROUND(('F 1-2'!$G$20/24),1)</f>
        <v>4.0999999999999996</v>
      </c>
      <c r="E21" s="357"/>
      <c r="F21" s="363">
        <f t="shared" si="1"/>
        <v>3.0999999999999999E-3</v>
      </c>
      <c r="G21" s="357"/>
      <c r="H21" s="363">
        <f t="shared" si="2"/>
        <v>1E-3</v>
      </c>
      <c r="I21" s="357"/>
      <c r="J21" s="357"/>
      <c r="K21" s="357"/>
      <c r="L21" s="357"/>
      <c r="M21" s="357"/>
      <c r="N21" s="363">
        <f>'Sch E Fire'!$O$26</f>
        <v>0.48309999999999997</v>
      </c>
      <c r="O21" s="357"/>
      <c r="P21" s="363">
        <f>ROUND(N21*$P$14,4)</f>
        <v>0.10639999999999999</v>
      </c>
      <c r="Q21" s="357"/>
      <c r="R21" s="363">
        <f t="shared" si="0"/>
        <v>0.1074</v>
      </c>
      <c r="S21" s="27"/>
      <c r="T21" s="29"/>
      <c r="U21" s="27"/>
      <c r="V21" s="27"/>
      <c r="W21" s="27"/>
      <c r="X21" s="27"/>
      <c r="Y21" s="27"/>
      <c r="Z21" s="27"/>
      <c r="AA21" s="27"/>
      <c r="AB21" s="27"/>
      <c r="AC21" s="27"/>
      <c r="AD21" s="27"/>
      <c r="AE21" s="27"/>
    </row>
    <row r="22" spans="1:31" x14ac:dyDescent="0.2">
      <c r="A22" s="357" t="s">
        <v>153</v>
      </c>
      <c r="B22" s="357"/>
      <c r="C22" s="357"/>
      <c r="D22" s="565">
        <f>ROUND(('F 1-2'!$G$21/24),1)</f>
        <v>4.3</v>
      </c>
      <c r="E22" s="357"/>
      <c r="F22" s="363">
        <f t="shared" si="1"/>
        <v>3.2000000000000002E-3</v>
      </c>
      <c r="G22" s="357"/>
      <c r="H22" s="363">
        <f t="shared" si="2"/>
        <v>1E-3</v>
      </c>
      <c r="I22" s="357"/>
      <c r="J22" s="357"/>
      <c r="K22" s="357"/>
      <c r="L22" s="357"/>
      <c r="M22" s="357"/>
      <c r="N22" s="363">
        <f>'Sch E Fire'!$O$33</f>
        <v>0.51690000000000003</v>
      </c>
      <c r="O22" s="357"/>
      <c r="P22" s="363">
        <f>ROUND(N22*$P$14,4)</f>
        <v>0.1138</v>
      </c>
      <c r="Q22" s="357"/>
      <c r="R22" s="363">
        <f t="shared" si="0"/>
        <v>0.1148</v>
      </c>
      <c r="S22" s="29"/>
      <c r="T22" s="29"/>
      <c r="U22" s="27"/>
      <c r="V22" s="27"/>
      <c r="W22" s="27"/>
      <c r="X22" s="27"/>
      <c r="Y22" s="27"/>
      <c r="Z22" s="27"/>
      <c r="AA22" s="27"/>
      <c r="AB22" s="27"/>
      <c r="AC22" s="27"/>
      <c r="AD22" s="27"/>
      <c r="AE22" s="27"/>
    </row>
    <row r="23" spans="1:31" x14ac:dyDescent="0.2">
      <c r="A23" s="357"/>
      <c r="B23" s="357"/>
      <c r="C23" s="357"/>
      <c r="D23" s="567"/>
      <c r="E23" s="357"/>
      <c r="F23" s="568"/>
      <c r="G23" s="357"/>
      <c r="H23" s="568"/>
      <c r="I23" s="357"/>
      <c r="J23" s="568"/>
      <c r="K23" s="357"/>
      <c r="L23" s="568"/>
      <c r="M23" s="357"/>
      <c r="N23" s="568"/>
      <c r="O23" s="357"/>
      <c r="P23" s="568"/>
      <c r="Q23" s="357"/>
      <c r="R23" s="568"/>
      <c r="S23" s="27"/>
      <c r="T23" s="27"/>
      <c r="U23" s="27"/>
      <c r="V23" s="27"/>
      <c r="W23" s="27"/>
      <c r="X23" s="27"/>
      <c r="Y23" s="27"/>
      <c r="Z23" s="27"/>
      <c r="AA23" s="27"/>
      <c r="AB23" s="27"/>
      <c r="AC23" s="27"/>
      <c r="AD23" s="27"/>
      <c r="AE23" s="27"/>
    </row>
    <row r="24" spans="1:31" ht="15.75" thickBot="1" x14ac:dyDescent="0.25">
      <c r="A24" s="357" t="s">
        <v>154</v>
      </c>
      <c r="B24" s="357"/>
      <c r="C24" s="357"/>
      <c r="D24" s="569">
        <f>SUM(D16:D23)</f>
        <v>1337.1999999999998</v>
      </c>
      <c r="E24" s="357"/>
      <c r="F24" s="363">
        <f>SUM(F16:F23)</f>
        <v>0.99999999999999989</v>
      </c>
      <c r="G24" s="357"/>
      <c r="H24" s="363">
        <f>SUM(H16:H23)</f>
        <v>0.31190000000000001</v>
      </c>
      <c r="I24" s="357"/>
      <c r="J24" s="363">
        <f>SUM(J16:J23)</f>
        <v>1</v>
      </c>
      <c r="K24" s="357"/>
      <c r="L24" s="363">
        <f>SUM(L16:L23)</f>
        <v>0.46790000000000004</v>
      </c>
      <c r="M24" s="357"/>
      <c r="N24" s="363">
        <f>SUM(N16:N23)</f>
        <v>1</v>
      </c>
      <c r="O24" s="357"/>
      <c r="P24" s="363">
        <f>SUM(P16:P23)</f>
        <v>0.22020000000000001</v>
      </c>
      <c r="Q24" s="357"/>
      <c r="R24" s="363">
        <f>SUM(R16:R23)</f>
        <v>1</v>
      </c>
      <c r="S24" s="27"/>
      <c r="T24" s="27"/>
      <c r="U24" s="27"/>
      <c r="V24" s="27"/>
      <c r="W24" s="27"/>
      <c r="X24" s="27"/>
      <c r="Y24" s="27"/>
      <c r="Z24" s="27"/>
      <c r="AA24" s="27"/>
      <c r="AB24" s="27"/>
      <c r="AC24" s="27"/>
      <c r="AD24" s="27"/>
      <c r="AE24" s="27"/>
    </row>
    <row r="25" spans="1:31" ht="15.75" thickTop="1" x14ac:dyDescent="0.2">
      <c r="A25" s="357"/>
      <c r="B25" s="357"/>
      <c r="C25" s="357"/>
      <c r="D25" s="364"/>
      <c r="E25" s="357"/>
      <c r="F25" s="365"/>
      <c r="G25" s="357"/>
      <c r="H25" s="365"/>
      <c r="I25" s="357"/>
      <c r="J25" s="365"/>
      <c r="K25" s="357"/>
      <c r="L25" s="365"/>
      <c r="M25" s="357"/>
      <c r="N25" s="365"/>
      <c r="O25" s="357"/>
      <c r="P25" s="365"/>
      <c r="Q25" s="357"/>
      <c r="R25" s="365"/>
      <c r="S25" s="27"/>
      <c r="T25" s="27"/>
      <c r="U25" s="27"/>
      <c r="V25" s="27"/>
      <c r="W25" s="27"/>
      <c r="X25" s="27"/>
      <c r="Y25" s="27"/>
      <c r="Z25" s="27"/>
      <c r="AA25" s="27"/>
      <c r="AB25" s="27"/>
      <c r="AC25" s="27"/>
      <c r="AD25" s="27"/>
      <c r="AE25" s="27"/>
    </row>
    <row r="26" spans="1:31" x14ac:dyDescent="0.2">
      <c r="A26" s="357"/>
      <c r="B26" s="357"/>
      <c r="C26" s="357"/>
      <c r="D26" s="357"/>
      <c r="E26" s="357"/>
      <c r="F26" s="357"/>
      <c r="G26" s="357"/>
      <c r="H26" s="357"/>
      <c r="I26" s="357"/>
      <c r="J26" s="357"/>
      <c r="K26" s="357"/>
      <c r="L26" s="357"/>
      <c r="M26" s="357"/>
      <c r="N26" s="357"/>
      <c r="O26" s="357"/>
      <c r="P26" s="357"/>
      <c r="Q26" s="357"/>
      <c r="R26" s="357"/>
      <c r="S26" s="27"/>
      <c r="T26" s="27"/>
      <c r="U26" s="27"/>
      <c r="V26" s="27"/>
      <c r="W26" s="27"/>
      <c r="X26" s="27"/>
      <c r="Y26" s="27"/>
      <c r="Z26" s="27"/>
      <c r="AA26" s="27"/>
      <c r="AB26" s="27"/>
      <c r="AC26" s="27"/>
      <c r="AD26" s="27"/>
      <c r="AE26" s="27"/>
    </row>
    <row r="27" spans="1:31" ht="27.2" customHeight="1" x14ac:dyDescent="0.2">
      <c r="A27" s="718" t="s">
        <v>577</v>
      </c>
      <c r="B27" s="718"/>
      <c r="C27" s="718"/>
      <c r="D27" s="718"/>
      <c r="E27" s="718"/>
      <c r="F27" s="718"/>
      <c r="G27" s="718"/>
      <c r="H27" s="718"/>
      <c r="I27" s="718"/>
      <c r="J27" s="718"/>
      <c r="K27" s="718"/>
      <c r="L27" s="718"/>
      <c r="M27" s="718"/>
      <c r="N27" s="718"/>
      <c r="O27" s="718"/>
      <c r="P27" s="718"/>
      <c r="Q27" s="718"/>
      <c r="R27" s="718"/>
      <c r="S27" s="27"/>
      <c r="T27" s="27"/>
      <c r="U27" s="27"/>
      <c r="V27" s="27"/>
      <c r="W27" s="27"/>
      <c r="X27" s="27"/>
      <c r="Y27" s="27"/>
      <c r="Z27" s="27"/>
      <c r="AA27" s="27"/>
      <c r="AB27" s="27"/>
      <c r="AC27" s="27"/>
      <c r="AD27" s="27"/>
      <c r="AE27" s="27"/>
    </row>
    <row r="28" spans="1:31" x14ac:dyDescent="0.2">
      <c r="A28" s="27"/>
      <c r="B28" s="27"/>
      <c r="C28" s="27"/>
      <c r="D28" s="27"/>
      <c r="E28" s="27"/>
      <c r="F28" s="27"/>
      <c r="G28" s="27"/>
      <c r="H28" s="27"/>
      <c r="I28" s="27"/>
      <c r="J28" s="27"/>
      <c r="K28" s="27"/>
      <c r="L28" s="27"/>
      <c r="M28" s="27"/>
      <c r="N28" s="27"/>
      <c r="O28" s="27"/>
      <c r="P28" s="27"/>
      <c r="Q28" s="27"/>
      <c r="R28" s="27"/>
      <c r="S28" s="27"/>
      <c r="T28" s="27"/>
      <c r="U28" s="30"/>
      <c r="V28" s="27"/>
      <c r="W28" s="27"/>
      <c r="X28" s="27"/>
      <c r="Y28" s="27"/>
      <c r="Z28" s="27"/>
      <c r="AA28" s="27"/>
      <c r="AB28" s="27"/>
      <c r="AC28" s="27"/>
      <c r="AD28" s="27"/>
      <c r="AE28" s="27"/>
    </row>
    <row r="29" spans="1:3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row>
    <row r="30" spans="1:31" x14ac:dyDescent="0.2">
      <c r="A30" s="27"/>
      <c r="B30" s="27"/>
      <c r="C30" s="27"/>
      <c r="D30" s="27"/>
      <c r="E30" s="27"/>
      <c r="F30" s="27"/>
      <c r="G30" s="27"/>
      <c r="H30" s="27"/>
      <c r="I30" s="27"/>
      <c r="J30" s="27"/>
      <c r="K30" s="27"/>
      <c r="L30" s="27"/>
      <c r="M30" s="27"/>
      <c r="N30" s="27"/>
      <c r="O30" s="27"/>
      <c r="P30" s="27"/>
      <c r="Q30" s="27"/>
      <c r="R30" s="27"/>
      <c r="S30" s="27"/>
      <c r="T30" s="27"/>
      <c r="AE30" s="27"/>
    </row>
    <row r="31" spans="1:31" x14ac:dyDescent="0.2">
      <c r="A31" s="27"/>
      <c r="B31" s="27"/>
      <c r="C31" s="27"/>
      <c r="D31" s="27"/>
      <c r="E31" s="27"/>
      <c r="F31" s="27"/>
      <c r="G31" s="27"/>
      <c r="H31" s="27"/>
      <c r="I31" s="27"/>
      <c r="J31" s="27"/>
      <c r="K31" s="27"/>
      <c r="L31" s="27"/>
      <c r="M31" s="27"/>
      <c r="N31" s="27"/>
      <c r="O31" s="27"/>
      <c r="P31" s="27"/>
      <c r="Q31" s="27"/>
      <c r="R31" s="27"/>
      <c r="S31" s="27"/>
      <c r="T31" s="27"/>
      <c r="AE31" s="27"/>
    </row>
    <row r="32" spans="1:31" x14ac:dyDescent="0.2">
      <c r="A32" s="27"/>
      <c r="B32" s="27"/>
      <c r="C32" s="27"/>
      <c r="D32" s="27"/>
      <c r="E32" s="27"/>
      <c r="F32" s="27"/>
      <c r="G32" s="27"/>
      <c r="H32" s="27"/>
      <c r="I32" s="27"/>
      <c r="J32" s="27"/>
      <c r="K32" s="27"/>
      <c r="L32" s="27"/>
      <c r="M32" s="27"/>
      <c r="N32" s="27"/>
      <c r="O32" s="27"/>
      <c r="P32" s="27"/>
      <c r="Q32" s="27"/>
      <c r="R32" s="27"/>
      <c r="S32" s="27"/>
      <c r="T32" s="27"/>
      <c r="AE32" s="27"/>
    </row>
    <row r="33" spans="1:31" x14ac:dyDescent="0.2">
      <c r="A33" s="27"/>
      <c r="B33" s="27"/>
      <c r="C33" s="27"/>
      <c r="D33" s="27"/>
      <c r="E33" s="27"/>
      <c r="F33" s="27"/>
      <c r="G33" s="27"/>
      <c r="H33" s="27"/>
      <c r="I33" s="27"/>
      <c r="J33" s="27"/>
      <c r="K33" s="27"/>
      <c r="L33" s="27"/>
      <c r="M33" s="27"/>
      <c r="N33" s="27"/>
      <c r="O33" s="27"/>
      <c r="P33" s="27"/>
      <c r="Q33" s="27"/>
      <c r="R33" s="27"/>
      <c r="S33" s="27"/>
      <c r="T33" s="27"/>
      <c r="AE33" s="27"/>
    </row>
    <row r="34" spans="1:31" x14ac:dyDescent="0.2">
      <c r="A34" s="27"/>
      <c r="B34" s="27"/>
      <c r="C34" s="27"/>
      <c r="D34" s="27"/>
      <c r="E34" s="27"/>
      <c r="F34" s="27"/>
      <c r="G34" s="27"/>
      <c r="H34" s="27"/>
      <c r="I34" s="27"/>
      <c r="J34" s="27"/>
      <c r="K34" s="27"/>
      <c r="L34" s="27"/>
      <c r="M34" s="27"/>
      <c r="N34" s="27"/>
      <c r="O34" s="27"/>
      <c r="P34" s="27"/>
      <c r="Q34" s="27"/>
      <c r="R34" s="27"/>
      <c r="S34" s="27"/>
      <c r="T34" s="27"/>
      <c r="AE34" s="27"/>
    </row>
    <row r="35" spans="1:31" x14ac:dyDescent="0.2">
      <c r="A35" s="27"/>
      <c r="B35" s="27"/>
      <c r="C35" s="27"/>
      <c r="D35" s="27"/>
      <c r="E35" s="27"/>
      <c r="F35" s="27"/>
      <c r="G35" s="27"/>
      <c r="H35" s="27"/>
      <c r="I35" s="27"/>
      <c r="J35" s="27"/>
      <c r="K35" s="27"/>
      <c r="L35" s="27"/>
      <c r="M35" s="27"/>
      <c r="N35" s="27"/>
      <c r="O35" s="27"/>
      <c r="P35" s="27"/>
      <c r="Q35" s="27"/>
      <c r="R35" s="27"/>
      <c r="S35" s="27"/>
      <c r="T35" s="27"/>
      <c r="AE35" s="27"/>
    </row>
    <row r="36" spans="1:31" x14ac:dyDescent="0.2">
      <c r="A36" s="27"/>
      <c r="B36" s="27"/>
      <c r="C36" s="27"/>
      <c r="D36" s="27"/>
      <c r="E36" s="27"/>
      <c r="F36" s="27"/>
      <c r="G36" s="27"/>
      <c r="H36" s="27"/>
      <c r="I36" s="27"/>
      <c r="J36" s="27"/>
      <c r="K36" s="27"/>
      <c r="L36" s="27"/>
      <c r="M36" s="27"/>
      <c r="N36" s="27"/>
      <c r="O36" s="27"/>
      <c r="P36" s="27"/>
      <c r="Q36" s="27"/>
      <c r="R36" s="27"/>
      <c r="S36" s="27"/>
      <c r="T36" s="27"/>
      <c r="AE36" s="27"/>
    </row>
    <row r="37" spans="1:31" x14ac:dyDescent="0.2">
      <c r="A37" s="27"/>
      <c r="B37" s="27"/>
      <c r="C37" s="27"/>
      <c r="D37" s="27"/>
      <c r="E37" s="27"/>
      <c r="F37" s="27"/>
      <c r="G37" s="27"/>
      <c r="H37" s="27"/>
      <c r="I37" s="27"/>
      <c r="J37" s="27"/>
      <c r="K37" s="27"/>
      <c r="L37" s="27"/>
      <c r="M37" s="27"/>
      <c r="N37" s="27"/>
      <c r="O37" s="27"/>
      <c r="P37" s="27"/>
      <c r="Q37" s="27"/>
      <c r="R37" s="27"/>
      <c r="S37" s="27"/>
      <c r="T37" s="27"/>
      <c r="AE37" s="27"/>
    </row>
    <row r="38" spans="1:31" x14ac:dyDescent="0.2">
      <c r="A38" s="27"/>
      <c r="B38" s="27"/>
      <c r="C38" s="27"/>
      <c r="D38" s="27"/>
      <c r="E38" s="27"/>
      <c r="F38" s="27"/>
      <c r="G38" s="27"/>
      <c r="H38" s="27"/>
      <c r="I38" s="27"/>
      <c r="J38" s="27"/>
      <c r="K38" s="27"/>
      <c r="L38" s="27"/>
      <c r="M38" s="27"/>
      <c r="N38" s="27"/>
      <c r="O38" s="27"/>
      <c r="P38" s="27"/>
      <c r="Q38" s="27"/>
      <c r="R38" s="27"/>
      <c r="S38" s="27"/>
      <c r="T38" s="27"/>
      <c r="AE38" s="27"/>
    </row>
    <row r="39" spans="1:31" x14ac:dyDescent="0.2">
      <c r="A39" s="27"/>
      <c r="B39" s="27"/>
      <c r="C39" s="27"/>
      <c r="D39" s="27"/>
      <c r="E39" s="27"/>
      <c r="F39" s="27"/>
      <c r="G39" s="27"/>
      <c r="H39" s="27"/>
      <c r="I39" s="27"/>
      <c r="J39" s="27"/>
      <c r="K39" s="27"/>
      <c r="L39" s="27"/>
      <c r="M39" s="27"/>
      <c r="N39" s="27"/>
      <c r="O39" s="27"/>
      <c r="P39" s="27"/>
      <c r="Q39" s="27"/>
      <c r="R39" s="27"/>
      <c r="S39" s="27"/>
      <c r="T39" s="27"/>
      <c r="AE39" s="27"/>
    </row>
    <row r="40" spans="1:31" x14ac:dyDescent="0.2">
      <c r="A40" s="27"/>
      <c r="B40" s="27"/>
      <c r="C40" s="27"/>
      <c r="D40" s="27"/>
      <c r="E40" s="27"/>
      <c r="F40" s="27"/>
      <c r="G40" s="27"/>
      <c r="H40" s="27"/>
      <c r="I40" s="27"/>
      <c r="J40" s="27"/>
      <c r="K40" s="27"/>
      <c r="L40" s="27"/>
      <c r="M40" s="27"/>
      <c r="N40" s="27"/>
      <c r="O40" s="27"/>
      <c r="P40" s="27"/>
      <c r="Q40" s="27"/>
      <c r="R40" s="27"/>
      <c r="S40" s="27"/>
      <c r="T40" s="27"/>
      <c r="AE40" s="27"/>
    </row>
    <row r="41" spans="1:31" x14ac:dyDescent="0.2">
      <c r="A41" s="27"/>
      <c r="B41" s="27"/>
      <c r="C41" s="27"/>
      <c r="D41" s="27"/>
      <c r="E41" s="27"/>
      <c r="F41" s="27"/>
      <c r="G41" s="27"/>
      <c r="H41" s="27"/>
      <c r="I41" s="27"/>
      <c r="J41" s="27"/>
      <c r="K41" s="27"/>
      <c r="L41" s="27"/>
      <c r="M41" s="27"/>
      <c r="N41" s="27"/>
      <c r="O41" s="27"/>
      <c r="P41" s="27"/>
      <c r="Q41" s="27"/>
      <c r="R41" s="27"/>
      <c r="S41" s="27"/>
      <c r="T41" s="27"/>
      <c r="AE41" s="27"/>
    </row>
    <row r="42" spans="1:31" x14ac:dyDescent="0.2">
      <c r="A42" s="27"/>
      <c r="B42" s="27"/>
      <c r="C42" s="27"/>
      <c r="D42" s="27"/>
      <c r="E42" s="27"/>
      <c r="F42" s="27"/>
      <c r="G42" s="27"/>
      <c r="H42" s="27"/>
      <c r="I42" s="27"/>
      <c r="J42" s="27"/>
      <c r="K42" s="27"/>
      <c r="L42" s="27"/>
      <c r="M42" s="27"/>
      <c r="N42" s="27"/>
      <c r="O42" s="27"/>
      <c r="P42" s="27"/>
      <c r="Q42" s="27"/>
      <c r="R42" s="27"/>
      <c r="S42" s="27"/>
      <c r="T42" s="27"/>
      <c r="AE42" s="27"/>
    </row>
    <row r="43" spans="1:31" x14ac:dyDescent="0.2">
      <c r="A43" s="27"/>
      <c r="B43" s="27"/>
      <c r="C43" s="27"/>
      <c r="D43" s="27"/>
      <c r="E43" s="27"/>
      <c r="F43" s="27"/>
      <c r="G43" s="27"/>
      <c r="H43" s="27"/>
      <c r="I43" s="27"/>
      <c r="J43" s="27"/>
      <c r="K43" s="27"/>
      <c r="L43" s="27"/>
      <c r="M43" s="27"/>
      <c r="N43" s="27"/>
      <c r="O43" s="27"/>
      <c r="P43" s="27"/>
      <c r="Q43" s="27"/>
      <c r="R43" s="27"/>
      <c r="S43" s="27"/>
      <c r="T43" s="27"/>
      <c r="AE43" s="27"/>
    </row>
    <row r="44" spans="1:31" x14ac:dyDescent="0.2">
      <c r="A44" s="27"/>
      <c r="B44" s="27"/>
      <c r="C44" s="27"/>
      <c r="D44" s="27"/>
      <c r="E44" s="27"/>
      <c r="F44" s="27"/>
      <c r="G44" s="27"/>
      <c r="H44" s="27"/>
      <c r="I44" s="27"/>
      <c r="J44" s="27"/>
      <c r="K44" s="27"/>
      <c r="L44" s="27"/>
      <c r="M44" s="27"/>
      <c r="N44" s="27"/>
      <c r="O44" s="27"/>
      <c r="P44" s="27"/>
      <c r="Q44" s="27"/>
      <c r="R44" s="27"/>
      <c r="S44" s="27"/>
      <c r="T44" s="27"/>
      <c r="AE44" s="27"/>
    </row>
    <row r="45" spans="1:31" x14ac:dyDescent="0.2">
      <c r="A45" s="27"/>
      <c r="B45" s="27"/>
      <c r="C45" s="27"/>
      <c r="D45" s="27"/>
      <c r="E45" s="27"/>
      <c r="F45" s="27"/>
      <c r="G45" s="27"/>
      <c r="H45" s="27"/>
      <c r="I45" s="27"/>
      <c r="J45" s="27"/>
      <c r="K45" s="27"/>
      <c r="L45" s="27"/>
      <c r="M45" s="27"/>
      <c r="N45" s="27"/>
      <c r="O45" s="27"/>
      <c r="P45" s="27"/>
      <c r="Q45" s="27"/>
      <c r="R45" s="27"/>
      <c r="S45" s="27"/>
      <c r="T45" s="27"/>
      <c r="AE45" s="27"/>
    </row>
    <row r="46" spans="1:31" x14ac:dyDescent="0.2">
      <c r="A46" s="27"/>
      <c r="B46" s="27"/>
      <c r="C46" s="27"/>
      <c r="D46" s="27"/>
      <c r="E46" s="27"/>
      <c r="F46" s="27"/>
      <c r="G46" s="27"/>
      <c r="H46" s="27"/>
      <c r="I46" s="27"/>
      <c r="J46" s="27"/>
      <c r="K46" s="27"/>
      <c r="L46" s="27"/>
      <c r="M46" s="27"/>
      <c r="N46" s="27"/>
      <c r="O46" s="27"/>
      <c r="P46" s="27"/>
      <c r="Q46" s="27"/>
      <c r="R46" s="27"/>
      <c r="S46" s="27"/>
      <c r="T46" s="27"/>
      <c r="AE46" s="27"/>
    </row>
    <row r="47" spans="1:31" x14ac:dyDescent="0.2">
      <c r="A47" s="27"/>
      <c r="B47" s="27"/>
      <c r="C47" s="27"/>
      <c r="D47" s="27"/>
      <c r="E47" s="27"/>
      <c r="F47" s="27"/>
      <c r="G47" s="27"/>
      <c r="H47" s="27"/>
      <c r="I47" s="27"/>
      <c r="J47" s="27"/>
      <c r="K47" s="27"/>
      <c r="L47" s="27"/>
      <c r="M47" s="27"/>
      <c r="N47" s="27"/>
      <c r="O47" s="27"/>
      <c r="P47" s="27"/>
      <c r="Q47" s="27"/>
      <c r="R47" s="27"/>
      <c r="S47" s="27"/>
      <c r="T47" s="27"/>
      <c r="AE47" s="27"/>
    </row>
    <row r="48" spans="1:31" x14ac:dyDescent="0.2">
      <c r="A48" s="27"/>
      <c r="B48" s="27"/>
      <c r="C48" s="27"/>
      <c r="D48" s="27"/>
      <c r="E48" s="27"/>
      <c r="F48" s="27"/>
      <c r="G48" s="27"/>
      <c r="H48" s="27"/>
      <c r="I48" s="27"/>
      <c r="J48" s="27"/>
      <c r="K48" s="27"/>
      <c r="L48" s="27"/>
      <c r="M48" s="27"/>
      <c r="N48" s="27"/>
      <c r="O48" s="27"/>
      <c r="P48" s="27"/>
      <c r="Q48" s="27"/>
      <c r="R48" s="27"/>
      <c r="S48" s="27"/>
      <c r="T48" s="27"/>
      <c r="AE48" s="27"/>
    </row>
    <row r="49" spans="1:31" x14ac:dyDescent="0.2">
      <c r="A49" s="27"/>
      <c r="B49" s="27"/>
      <c r="C49" s="27"/>
      <c r="D49" s="27"/>
      <c r="E49" s="27"/>
      <c r="F49" s="27"/>
      <c r="G49" s="27"/>
      <c r="H49" s="27"/>
      <c r="I49" s="27"/>
      <c r="J49" s="27"/>
      <c r="K49" s="27"/>
      <c r="L49" s="27"/>
      <c r="M49" s="27"/>
      <c r="N49" s="27"/>
      <c r="O49" s="27"/>
      <c r="P49" s="27"/>
      <c r="Q49" s="27"/>
      <c r="R49" s="27"/>
      <c r="S49" s="27"/>
      <c r="T49" s="27"/>
      <c r="AE49" s="27"/>
    </row>
    <row r="50" spans="1:31" x14ac:dyDescent="0.2">
      <c r="A50" s="27"/>
      <c r="B50" s="27"/>
      <c r="C50" s="27"/>
      <c r="D50" s="27"/>
      <c r="E50" s="27"/>
      <c r="F50" s="27"/>
      <c r="G50" s="27"/>
      <c r="H50" s="27"/>
      <c r="I50" s="27"/>
      <c r="J50" s="27"/>
      <c r="K50" s="27"/>
      <c r="L50" s="27"/>
      <c r="M50" s="27"/>
      <c r="N50" s="27"/>
      <c r="O50" s="27"/>
      <c r="P50" s="27"/>
      <c r="Q50" s="27"/>
      <c r="R50" s="27"/>
      <c r="S50" s="27"/>
      <c r="T50" s="27"/>
      <c r="AE50" s="27"/>
    </row>
    <row r="51" spans="1:31" x14ac:dyDescent="0.2">
      <c r="A51" s="27"/>
      <c r="B51" s="27"/>
      <c r="C51" s="27"/>
      <c r="D51" s="27"/>
      <c r="E51" s="27"/>
      <c r="F51" s="27"/>
      <c r="G51" s="27"/>
      <c r="H51" s="27"/>
      <c r="I51" s="27"/>
      <c r="J51" s="27"/>
      <c r="K51" s="27"/>
      <c r="L51" s="27"/>
      <c r="M51" s="27"/>
      <c r="N51" s="27"/>
      <c r="O51" s="27"/>
      <c r="P51" s="27"/>
      <c r="Q51" s="27"/>
      <c r="R51" s="27"/>
      <c r="S51" s="27"/>
      <c r="T51" s="27"/>
      <c r="AE51" s="27"/>
    </row>
    <row r="52" spans="1:31" x14ac:dyDescent="0.2">
      <c r="A52" s="27"/>
      <c r="B52" s="27"/>
      <c r="C52" s="27"/>
      <c r="D52" s="27"/>
      <c r="E52" s="27"/>
      <c r="F52" s="27"/>
      <c r="G52" s="27"/>
      <c r="H52" s="27"/>
      <c r="I52" s="27"/>
      <c r="J52" s="27"/>
      <c r="K52" s="27"/>
      <c r="L52" s="27"/>
      <c r="M52" s="27"/>
      <c r="N52" s="27"/>
      <c r="O52" s="27"/>
      <c r="P52" s="27"/>
      <c r="Q52" s="27"/>
      <c r="R52" s="27"/>
      <c r="S52" s="27"/>
      <c r="T52" s="27"/>
      <c r="AE52" s="27"/>
    </row>
    <row r="53" spans="1:31" x14ac:dyDescent="0.2">
      <c r="A53" s="27"/>
      <c r="B53" s="27"/>
      <c r="C53" s="27"/>
      <c r="D53" s="27"/>
      <c r="E53" s="27"/>
      <c r="F53" s="27"/>
      <c r="G53" s="27"/>
      <c r="H53" s="27"/>
      <c r="I53" s="27"/>
      <c r="J53" s="27"/>
      <c r="K53" s="27"/>
      <c r="L53" s="27"/>
      <c r="M53" s="27"/>
      <c r="N53" s="27"/>
      <c r="O53" s="27"/>
      <c r="P53" s="27"/>
      <c r="Q53" s="27"/>
      <c r="R53" s="27"/>
      <c r="S53" s="27"/>
      <c r="T53" s="27"/>
      <c r="AE53" s="27"/>
    </row>
    <row r="54" spans="1:31" x14ac:dyDescent="0.2">
      <c r="A54" s="27"/>
      <c r="B54" s="27"/>
      <c r="C54" s="27"/>
      <c r="D54" s="27"/>
      <c r="E54" s="27"/>
      <c r="F54" s="27"/>
      <c r="G54" s="27"/>
      <c r="H54" s="27"/>
      <c r="I54" s="27"/>
      <c r="J54" s="27"/>
      <c r="K54" s="27"/>
      <c r="L54" s="27"/>
      <c r="M54" s="27"/>
      <c r="N54" s="27"/>
      <c r="O54" s="27"/>
      <c r="P54" s="27"/>
      <c r="Q54" s="27"/>
      <c r="R54" s="27"/>
      <c r="S54" s="27"/>
      <c r="T54" s="27"/>
      <c r="AE54" s="27"/>
    </row>
    <row r="55" spans="1:31" x14ac:dyDescent="0.2">
      <c r="A55" s="27"/>
      <c r="B55" s="27"/>
      <c r="C55" s="27"/>
      <c r="D55" s="27"/>
      <c r="E55" s="27"/>
      <c r="F55" s="27"/>
      <c r="G55" s="27"/>
      <c r="H55" s="27"/>
      <c r="I55" s="27"/>
      <c r="J55" s="27"/>
      <c r="K55" s="27"/>
      <c r="L55" s="27"/>
      <c r="M55" s="27"/>
      <c r="N55" s="27"/>
      <c r="O55" s="27"/>
      <c r="P55" s="27"/>
      <c r="Q55" s="27"/>
      <c r="R55" s="27"/>
      <c r="S55" s="27"/>
      <c r="T55" s="27"/>
      <c r="AE55" s="27"/>
    </row>
    <row r="56" spans="1:31" x14ac:dyDescent="0.2">
      <c r="A56" s="27"/>
      <c r="B56" s="27"/>
      <c r="C56" s="27"/>
      <c r="D56" s="27"/>
      <c r="E56" s="27"/>
      <c r="F56" s="27"/>
      <c r="G56" s="27"/>
      <c r="H56" s="27"/>
      <c r="I56" s="27"/>
      <c r="J56" s="27"/>
      <c r="K56" s="27"/>
      <c r="L56" s="27"/>
      <c r="M56" s="27"/>
      <c r="N56" s="27"/>
      <c r="O56" s="27"/>
      <c r="P56" s="27"/>
      <c r="Q56" s="27"/>
      <c r="R56" s="27"/>
      <c r="S56" s="27"/>
      <c r="T56" s="27"/>
      <c r="AE56" s="27"/>
    </row>
    <row r="57" spans="1:31" x14ac:dyDescent="0.2">
      <c r="A57" s="27"/>
      <c r="B57" s="27"/>
      <c r="C57" s="27"/>
      <c r="D57" s="27"/>
      <c r="E57" s="27"/>
      <c r="F57" s="27"/>
      <c r="G57" s="27"/>
      <c r="H57" s="27"/>
      <c r="I57" s="27"/>
      <c r="J57" s="27"/>
      <c r="K57" s="27"/>
      <c r="L57" s="27"/>
      <c r="M57" s="27"/>
      <c r="N57" s="27"/>
      <c r="O57" s="27"/>
      <c r="P57" s="27"/>
      <c r="Q57" s="27"/>
      <c r="R57" s="27"/>
      <c r="S57" s="27"/>
      <c r="T57" s="27"/>
      <c r="AE57" s="27"/>
    </row>
    <row r="58" spans="1:31" x14ac:dyDescent="0.2">
      <c r="A58" s="27"/>
      <c r="B58" s="27"/>
      <c r="C58" s="27"/>
      <c r="D58" s="27"/>
      <c r="E58" s="27"/>
      <c r="F58" s="27"/>
      <c r="G58" s="27"/>
      <c r="H58" s="27"/>
      <c r="I58" s="27"/>
      <c r="J58" s="27"/>
      <c r="K58" s="27"/>
      <c r="L58" s="27"/>
      <c r="M58" s="27"/>
      <c r="N58" s="27"/>
      <c r="O58" s="27"/>
      <c r="P58" s="27"/>
      <c r="Q58" s="27"/>
      <c r="R58" s="27"/>
      <c r="S58" s="27"/>
      <c r="T58" s="27"/>
      <c r="AE58" s="27"/>
    </row>
    <row r="59" spans="1:31" x14ac:dyDescent="0.2">
      <c r="A59" s="27"/>
      <c r="B59" s="27"/>
      <c r="C59" s="27"/>
      <c r="D59" s="27"/>
      <c r="E59" s="27"/>
      <c r="F59" s="27"/>
      <c r="G59" s="27"/>
      <c r="H59" s="27"/>
      <c r="I59" s="27"/>
      <c r="J59" s="27"/>
      <c r="K59" s="27"/>
      <c r="L59" s="27"/>
      <c r="M59" s="27"/>
      <c r="N59" s="27"/>
      <c r="O59" s="27"/>
      <c r="P59" s="27"/>
      <c r="Q59" s="27"/>
      <c r="R59" s="27"/>
      <c r="S59" s="27"/>
      <c r="T59" s="27"/>
      <c r="AE59" s="27"/>
    </row>
    <row r="60" spans="1:31" x14ac:dyDescent="0.2">
      <c r="A60" s="27"/>
      <c r="B60" s="27"/>
      <c r="C60" s="27"/>
      <c r="D60" s="27"/>
      <c r="E60" s="27"/>
      <c r="F60" s="27"/>
      <c r="G60" s="27"/>
      <c r="H60" s="27"/>
      <c r="I60" s="27"/>
      <c r="J60" s="27"/>
      <c r="K60" s="27"/>
      <c r="L60" s="27"/>
      <c r="M60" s="27"/>
      <c r="N60" s="27"/>
      <c r="O60" s="27"/>
      <c r="P60" s="27"/>
      <c r="Q60" s="27"/>
      <c r="R60" s="27"/>
      <c r="S60" s="27"/>
      <c r="T60" s="27"/>
      <c r="AE60" s="27"/>
    </row>
    <row r="61" spans="1:3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row>
    <row r="62" spans="1:3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row>
    <row r="63" spans="1:31"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row>
    <row r="64" spans="1:31"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row>
    <row r="65" spans="1:31"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row>
  </sheetData>
  <mergeCells count="2">
    <mergeCell ref="A7:R7"/>
    <mergeCell ref="A27:R27"/>
  </mergeCells>
  <phoneticPr fontId="13" type="noConversion"/>
  <printOptions horizontalCentered="1"/>
  <pageMargins left="0.5" right="0.5" top="1"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S44"/>
  <sheetViews>
    <sheetView workbookViewId="0">
      <selection activeCell="N27" sqref="N27"/>
    </sheetView>
  </sheetViews>
  <sheetFormatPr defaultColWidth="9.77734375" defaultRowHeight="15" x14ac:dyDescent="0.2"/>
  <cols>
    <col min="1" max="1" width="5" style="160" customWidth="1"/>
    <col min="2" max="2" width="13.21875" style="160" customWidth="1"/>
    <col min="3" max="3" width="6.88671875" style="160" customWidth="1"/>
    <col min="4" max="4" width="12.33203125" style="160" customWidth="1"/>
    <col min="5" max="5" width="8" style="160" customWidth="1"/>
    <col min="6" max="6" width="9.77734375" style="160" customWidth="1"/>
    <col min="7" max="7" width="2.5546875" style="160" customWidth="1"/>
    <col min="8" max="8" width="9.77734375" style="160" customWidth="1"/>
    <col min="9" max="9" width="3.5546875" style="160" customWidth="1"/>
    <col min="10" max="13" width="9.77734375" style="160" customWidth="1"/>
    <col min="14" max="14" width="11" style="160" bestFit="1" customWidth="1"/>
    <col min="15" max="16384" width="9.77734375" style="160"/>
  </cols>
  <sheetData>
    <row r="1" spans="1:19" x14ac:dyDescent="0.2">
      <c r="A1" s="15" t="s">
        <v>7</v>
      </c>
      <c r="B1" s="15"/>
      <c r="C1" s="15"/>
      <c r="D1" s="15"/>
      <c r="E1" s="15"/>
      <c r="F1" s="15"/>
      <c r="G1" s="15"/>
      <c r="H1" s="15"/>
      <c r="I1" s="15"/>
      <c r="J1" s="15"/>
    </row>
    <row r="2" spans="1:19" x14ac:dyDescent="0.2">
      <c r="A2" s="31"/>
      <c r="B2" s="31"/>
      <c r="C2" s="31"/>
      <c r="D2" s="31"/>
      <c r="E2" s="31"/>
      <c r="F2" s="31"/>
      <c r="G2" s="31"/>
      <c r="H2" s="31"/>
      <c r="I2" s="32"/>
      <c r="N2" s="246"/>
    </row>
    <row r="3" spans="1:19" x14ac:dyDescent="0.2">
      <c r="A3" s="16" t="s">
        <v>170</v>
      </c>
      <c r="B3" s="340"/>
      <c r="C3" s="16"/>
      <c r="D3" s="16"/>
      <c r="E3" s="16"/>
      <c r="F3" s="16"/>
      <c r="G3" s="16"/>
      <c r="H3" s="16"/>
      <c r="I3" s="32"/>
      <c r="N3" s="246"/>
    </row>
    <row r="4" spans="1:19" x14ac:dyDescent="0.2">
      <c r="A4" s="32"/>
      <c r="B4" s="32"/>
      <c r="C4" s="32"/>
      <c r="D4" s="32"/>
      <c r="E4" s="32"/>
      <c r="F4" s="32"/>
      <c r="G4" s="32"/>
      <c r="H4" s="32"/>
      <c r="I4" s="32"/>
      <c r="N4" s="247"/>
    </row>
    <row r="5" spans="1:19" x14ac:dyDescent="0.2">
      <c r="A5" s="342" t="s">
        <v>96</v>
      </c>
      <c r="B5" s="342"/>
      <c r="C5" s="342"/>
      <c r="D5" s="342"/>
      <c r="E5" s="342"/>
      <c r="F5" s="342"/>
      <c r="G5" s="342"/>
      <c r="H5" s="342"/>
      <c r="I5" s="342"/>
      <c r="J5" s="343"/>
      <c r="N5" s="247"/>
    </row>
    <row r="6" spans="1:19" x14ac:dyDescent="0.2">
      <c r="A6" s="342"/>
      <c r="B6" s="342"/>
      <c r="C6" s="342"/>
      <c r="D6" s="342"/>
      <c r="E6" s="342"/>
      <c r="F6" s="342"/>
      <c r="G6" s="342"/>
      <c r="H6" s="342"/>
      <c r="I6" s="342"/>
      <c r="J6" s="343"/>
      <c r="N6" s="247"/>
    </row>
    <row r="7" spans="1:19" ht="28.15" customHeight="1" x14ac:dyDescent="0.2">
      <c r="A7" s="720" t="s">
        <v>578</v>
      </c>
      <c r="B7" s="721"/>
      <c r="C7" s="721"/>
      <c r="D7" s="721"/>
      <c r="E7" s="721"/>
      <c r="F7" s="721"/>
      <c r="G7" s="721"/>
      <c r="H7" s="721"/>
      <c r="I7" s="721"/>
      <c r="J7" s="721"/>
      <c r="N7" s="247"/>
      <c r="O7" s="452"/>
      <c r="P7" s="452"/>
      <c r="Q7" s="452"/>
      <c r="R7" s="452"/>
      <c r="S7" s="452"/>
    </row>
    <row r="8" spans="1:19" x14ac:dyDescent="0.2">
      <c r="A8" s="342"/>
      <c r="B8" s="342"/>
      <c r="C8" s="342"/>
      <c r="D8" s="342"/>
      <c r="E8" s="342"/>
      <c r="F8" s="342"/>
      <c r="G8" s="342"/>
      <c r="H8" s="342"/>
      <c r="I8" s="342"/>
      <c r="J8" s="343"/>
      <c r="N8" s="247"/>
      <c r="O8" s="452"/>
      <c r="P8" s="452"/>
      <c r="Q8" s="452"/>
      <c r="R8" s="452"/>
      <c r="S8" s="452"/>
    </row>
    <row r="9" spans="1:19" x14ac:dyDescent="0.2">
      <c r="A9" s="342"/>
      <c r="B9" s="342"/>
      <c r="C9" s="342"/>
      <c r="D9" s="343"/>
      <c r="E9" s="342"/>
      <c r="F9" s="342"/>
      <c r="G9" s="342"/>
      <c r="H9" s="342"/>
      <c r="I9" s="342"/>
      <c r="J9" s="343"/>
      <c r="N9" s="247"/>
      <c r="O9" s="452"/>
      <c r="P9" s="452"/>
      <c r="Q9" s="452"/>
      <c r="R9" s="452"/>
      <c r="S9" s="452"/>
    </row>
    <row r="10" spans="1:19" x14ac:dyDescent="0.2">
      <c r="A10" s="342" t="s">
        <v>218</v>
      </c>
      <c r="B10" s="342"/>
      <c r="C10" s="528">
        <f>+'F 3B 4B'!G46</f>
        <v>10000</v>
      </c>
      <c r="D10" s="529" t="s">
        <v>31</v>
      </c>
      <c r="E10" s="530"/>
      <c r="F10" s="344" t="s">
        <v>219</v>
      </c>
      <c r="G10" s="343"/>
      <c r="H10" s="531">
        <f>ROUND(+C10*60*10/D11,4)</f>
        <v>0.22020000000000001</v>
      </c>
      <c r="I10" s="342"/>
      <c r="J10" s="343"/>
      <c r="N10" s="247"/>
      <c r="O10" s="452"/>
      <c r="P10" s="452"/>
      <c r="Q10" s="453"/>
      <c r="R10" s="452"/>
      <c r="S10" s="452"/>
    </row>
    <row r="11" spans="1:19" x14ac:dyDescent="0.2">
      <c r="A11" s="342"/>
      <c r="B11" s="342"/>
      <c r="C11" s="343"/>
      <c r="D11" s="431">
        <v>27250000</v>
      </c>
      <c r="E11" s="345" t="s">
        <v>307</v>
      </c>
      <c r="F11" s="344"/>
      <c r="G11" s="342"/>
      <c r="H11" s="343"/>
      <c r="I11" s="342"/>
      <c r="J11" s="343"/>
      <c r="N11" s="247"/>
      <c r="O11" s="452"/>
      <c r="P11" s="452"/>
      <c r="Q11" s="452"/>
      <c r="R11" s="452"/>
      <c r="S11" s="452"/>
    </row>
    <row r="12" spans="1:19" x14ac:dyDescent="0.2">
      <c r="A12" s="342"/>
      <c r="B12" s="342"/>
      <c r="C12" s="342"/>
      <c r="D12" s="342"/>
      <c r="E12" s="342"/>
      <c r="F12" s="344"/>
      <c r="G12" s="342"/>
      <c r="H12" s="343"/>
      <c r="I12" s="342"/>
      <c r="J12" s="343"/>
      <c r="N12" s="247"/>
      <c r="O12" s="452"/>
      <c r="P12" s="452"/>
      <c r="Q12" s="452"/>
      <c r="R12" s="452"/>
      <c r="S12" s="452"/>
    </row>
    <row r="13" spans="1:19" x14ac:dyDescent="0.2">
      <c r="A13" s="342" t="s">
        <v>220</v>
      </c>
      <c r="B13" s="342"/>
      <c r="C13" s="343"/>
      <c r="D13" s="531">
        <v>1</v>
      </c>
      <c r="E13" s="344" t="s">
        <v>221</v>
      </c>
      <c r="F13" s="531">
        <f>H10</f>
        <v>0.22020000000000001</v>
      </c>
      <c r="G13" s="532" t="s">
        <v>219</v>
      </c>
      <c r="H13" s="531">
        <f>D13-F13</f>
        <v>0.77980000000000005</v>
      </c>
      <c r="I13" s="342"/>
      <c r="J13" s="343"/>
      <c r="N13" s="247"/>
      <c r="O13" s="452"/>
      <c r="P13" s="452"/>
      <c r="Q13" s="452"/>
      <c r="R13" s="452"/>
      <c r="S13" s="452"/>
    </row>
    <row r="14" spans="1:19" x14ac:dyDescent="0.2">
      <c r="A14" s="342"/>
      <c r="B14" s="342"/>
      <c r="C14" s="342"/>
      <c r="D14" s="342"/>
      <c r="E14" s="342"/>
      <c r="F14" s="342"/>
      <c r="G14" s="342"/>
      <c r="H14" s="342"/>
      <c r="I14" s="342"/>
      <c r="J14" s="343"/>
      <c r="N14" s="247"/>
      <c r="O14" s="452"/>
      <c r="P14" s="452"/>
      <c r="Q14" s="452"/>
      <c r="R14" s="452"/>
      <c r="S14" s="452"/>
    </row>
    <row r="15" spans="1:19" x14ac:dyDescent="0.2">
      <c r="A15" s="342"/>
      <c r="B15" s="342"/>
      <c r="C15" s="342"/>
      <c r="D15" s="342"/>
      <c r="E15" s="342"/>
      <c r="F15" s="342"/>
      <c r="G15" s="342"/>
      <c r="H15" s="342"/>
      <c r="I15" s="342"/>
      <c r="J15" s="346"/>
      <c r="K15" s="121"/>
      <c r="L15" s="121"/>
      <c r="M15" s="121"/>
      <c r="N15" s="248"/>
      <c r="O15" s="452"/>
      <c r="P15" s="442"/>
      <c r="Q15" s="442"/>
      <c r="R15" s="442"/>
      <c r="S15" s="442"/>
    </row>
    <row r="16" spans="1:19" ht="29.25" customHeight="1" x14ac:dyDescent="0.2">
      <c r="A16" s="720" t="s">
        <v>222</v>
      </c>
      <c r="B16" s="720"/>
      <c r="C16" s="720"/>
      <c r="D16" s="720"/>
      <c r="E16" s="720"/>
      <c r="F16" s="720"/>
      <c r="G16" s="720"/>
      <c r="H16" s="720"/>
      <c r="I16" s="342"/>
      <c r="J16" s="343"/>
      <c r="N16" s="247"/>
      <c r="O16" s="452"/>
      <c r="P16" s="452"/>
      <c r="Q16" s="452"/>
      <c r="R16" s="452"/>
      <c r="S16" s="452"/>
    </row>
    <row r="17" spans="1:19" x14ac:dyDescent="0.2">
      <c r="A17" s="342"/>
      <c r="B17" s="342"/>
      <c r="C17" s="342"/>
      <c r="D17" s="342"/>
      <c r="E17" s="342"/>
      <c r="F17" s="342"/>
      <c r="G17" s="342"/>
      <c r="H17" s="342"/>
      <c r="I17" s="342"/>
      <c r="J17" s="343"/>
      <c r="N17" s="247"/>
      <c r="O17" s="452"/>
      <c r="P17" s="452"/>
      <c r="Q17" s="452"/>
      <c r="R17" s="452"/>
      <c r="S17" s="452"/>
    </row>
    <row r="18" spans="1:19" x14ac:dyDescent="0.2">
      <c r="A18" s="342"/>
      <c r="B18" s="342"/>
      <c r="C18" s="342"/>
      <c r="D18" s="344" t="s">
        <v>178</v>
      </c>
      <c r="E18" s="342"/>
      <c r="F18" s="342"/>
      <c r="G18" s="342"/>
      <c r="H18" s="342"/>
      <c r="I18" s="342"/>
      <c r="J18" s="343"/>
      <c r="N18" s="247"/>
      <c r="O18" s="452"/>
      <c r="P18" s="452"/>
      <c r="Q18" s="452"/>
      <c r="R18" s="452"/>
      <c r="S18" s="452"/>
    </row>
    <row r="19" spans="1:19" x14ac:dyDescent="0.2">
      <c r="A19" s="342"/>
      <c r="B19" s="342"/>
      <c r="C19" s="342"/>
      <c r="D19" s="344" t="s">
        <v>223</v>
      </c>
      <c r="E19" s="342"/>
      <c r="F19" s="342"/>
      <c r="G19" s="342"/>
      <c r="H19" s="342"/>
      <c r="I19" s="342"/>
      <c r="J19" s="343"/>
      <c r="N19" s="247"/>
      <c r="O19" s="452"/>
      <c r="P19" s="452"/>
      <c r="Q19" s="452"/>
      <c r="R19" s="452"/>
      <c r="S19" s="452"/>
    </row>
    <row r="20" spans="1:19" x14ac:dyDescent="0.2">
      <c r="A20" s="342"/>
      <c r="B20" s="342"/>
      <c r="C20" s="342"/>
      <c r="D20" s="344" t="s">
        <v>180</v>
      </c>
      <c r="E20" s="342"/>
      <c r="F20" s="344" t="s">
        <v>224</v>
      </c>
      <c r="G20" s="342"/>
      <c r="H20" s="344" t="s">
        <v>181</v>
      </c>
      <c r="I20" s="342"/>
      <c r="J20" s="343"/>
      <c r="N20" s="247"/>
      <c r="O20" s="452"/>
      <c r="P20" s="452"/>
      <c r="Q20" s="452"/>
      <c r="R20" s="452"/>
      <c r="S20" s="452"/>
    </row>
    <row r="21" spans="1:19" x14ac:dyDescent="0.2">
      <c r="A21" s="342"/>
      <c r="B21" s="342"/>
      <c r="C21" s="342"/>
      <c r="D21" s="345"/>
      <c r="E21" s="342"/>
      <c r="F21" s="345"/>
      <c r="G21" s="342"/>
      <c r="H21" s="345"/>
      <c r="I21" s="342"/>
      <c r="J21" s="343"/>
      <c r="N21" s="247"/>
      <c r="O21" s="452"/>
      <c r="P21" s="452"/>
      <c r="Q21" s="452"/>
      <c r="R21" s="452"/>
      <c r="S21" s="452"/>
    </row>
    <row r="22" spans="1:19" x14ac:dyDescent="0.2">
      <c r="A22" s="342"/>
      <c r="B22" s="342" t="s">
        <v>202</v>
      </c>
      <c r="C22" s="342"/>
      <c r="D22" s="533">
        <v>1</v>
      </c>
      <c r="E22" s="342"/>
      <c r="F22" s="533">
        <f>D22/D27*100</f>
        <v>40</v>
      </c>
      <c r="G22" s="342"/>
      <c r="H22" s="531">
        <f>ROUND(F22/100*(1-H10),4)</f>
        <v>0.31190000000000001</v>
      </c>
      <c r="I22" s="342"/>
      <c r="J22" s="343"/>
      <c r="N22" s="247"/>
    </row>
    <row r="23" spans="1:19" ht="8.4499999999999993" customHeight="1" x14ac:dyDescent="0.2">
      <c r="A23" s="342"/>
      <c r="B23" s="342"/>
      <c r="C23" s="342"/>
      <c r="D23" s="342"/>
      <c r="E23" s="342"/>
      <c r="F23" s="342"/>
      <c r="G23" s="342"/>
      <c r="H23" s="342"/>
      <c r="I23" s="342"/>
      <c r="J23" s="343"/>
      <c r="N23" s="247"/>
    </row>
    <row r="24" spans="1:19" x14ac:dyDescent="0.2">
      <c r="A24" s="342"/>
      <c r="B24" s="342" t="s">
        <v>160</v>
      </c>
      <c r="C24" s="342"/>
      <c r="D24" s="342"/>
      <c r="E24" s="342"/>
      <c r="F24" s="342"/>
      <c r="G24" s="342"/>
      <c r="H24" s="342"/>
      <c r="I24" s="342"/>
      <c r="J24" s="343"/>
      <c r="N24" s="247"/>
    </row>
    <row r="25" spans="1:19" x14ac:dyDescent="0.2">
      <c r="A25" s="342"/>
      <c r="B25" s="342" t="s">
        <v>225</v>
      </c>
      <c r="C25" s="342"/>
      <c r="D25" s="533">
        <f>'F 3B 4B'!$E$42</f>
        <v>1.5</v>
      </c>
      <c r="E25" s="342"/>
      <c r="F25" s="533">
        <f>D25/D27*100</f>
        <v>60</v>
      </c>
      <c r="G25" s="342"/>
      <c r="H25" s="531">
        <f>ROUND(F25/100*(1-H10),4)</f>
        <v>0.46789999999999998</v>
      </c>
      <c r="I25" s="342"/>
      <c r="J25" s="343"/>
      <c r="N25" s="247"/>
    </row>
    <row r="26" spans="1:19" x14ac:dyDescent="0.2">
      <c r="A26" s="342"/>
      <c r="B26" s="342"/>
      <c r="C26" s="342"/>
      <c r="D26" s="534"/>
      <c r="E26" s="342"/>
      <c r="F26" s="534"/>
      <c r="G26" s="342"/>
      <c r="H26" s="534"/>
      <c r="I26" s="342"/>
      <c r="J26" s="343"/>
      <c r="N26" s="247"/>
    </row>
    <row r="27" spans="1:19" ht="15.75" thickBot="1" x14ac:dyDescent="0.25">
      <c r="A27" s="342"/>
      <c r="B27" s="342" t="s">
        <v>184</v>
      </c>
      <c r="C27" s="342"/>
      <c r="D27" s="533">
        <f>SUM(D22:D26)</f>
        <v>2.5</v>
      </c>
      <c r="E27" s="342"/>
      <c r="F27" s="533">
        <f>SUM(F22:F26)</f>
        <v>100</v>
      </c>
      <c r="G27" s="342"/>
      <c r="H27" s="535">
        <f>SUM(H22:H26)</f>
        <v>0.77980000000000005</v>
      </c>
      <c r="I27" s="342"/>
      <c r="J27" s="343"/>
      <c r="N27" s="247"/>
    </row>
    <row r="28" spans="1:19" ht="15.75" thickTop="1" x14ac:dyDescent="0.2">
      <c r="A28" s="342"/>
      <c r="B28" s="342"/>
      <c r="C28" s="342"/>
      <c r="D28" s="347"/>
      <c r="E28" s="342"/>
      <c r="F28" s="347"/>
      <c r="G28" s="342"/>
      <c r="H28" s="348"/>
      <c r="I28" s="342"/>
      <c r="J28" s="343"/>
      <c r="N28" s="247"/>
    </row>
    <row r="29" spans="1:19" x14ac:dyDescent="0.2">
      <c r="A29" s="343"/>
      <c r="B29" s="343"/>
      <c r="C29" s="343"/>
      <c r="D29" s="343"/>
      <c r="E29" s="343"/>
      <c r="F29" s="343"/>
      <c r="G29" s="343"/>
      <c r="H29" s="343"/>
      <c r="I29" s="343"/>
      <c r="J29" s="343"/>
      <c r="N29" s="247"/>
    </row>
    <row r="30" spans="1:19" x14ac:dyDescent="0.2">
      <c r="A30" s="349"/>
      <c r="B30" s="349"/>
      <c r="C30" s="349"/>
      <c r="D30" s="501" t="s">
        <v>208</v>
      </c>
      <c r="E30" s="343"/>
      <c r="F30" s="349"/>
      <c r="G30" s="351"/>
      <c r="H30" s="349"/>
      <c r="I30" s="349"/>
      <c r="J30" s="349"/>
      <c r="K30" s="22"/>
      <c r="N30" s="247"/>
    </row>
    <row r="31" spans="1:19" x14ac:dyDescent="0.2">
      <c r="A31" s="349"/>
      <c r="B31" s="349"/>
      <c r="C31" s="349"/>
      <c r="D31" s="501" t="s">
        <v>209</v>
      </c>
      <c r="E31" s="343"/>
      <c r="F31" s="352" t="s">
        <v>210</v>
      </c>
      <c r="G31" s="352"/>
      <c r="H31" s="352"/>
      <c r="I31" s="352"/>
      <c r="J31" s="352"/>
    </row>
    <row r="32" spans="1:19" x14ac:dyDescent="0.2">
      <c r="A32" s="715" t="s">
        <v>188</v>
      </c>
      <c r="B32" s="715"/>
      <c r="C32" s="352"/>
      <c r="D32" s="501" t="s">
        <v>159</v>
      </c>
      <c r="E32" s="343"/>
      <c r="F32" s="353"/>
      <c r="G32" s="353"/>
      <c r="H32" s="353" t="s">
        <v>374</v>
      </c>
      <c r="I32" s="353"/>
      <c r="J32" s="353" t="s">
        <v>140</v>
      </c>
    </row>
    <row r="33" spans="1:11" x14ac:dyDescent="0.2">
      <c r="A33" s="719" t="s">
        <v>141</v>
      </c>
      <c r="B33" s="719"/>
      <c r="C33" s="342"/>
      <c r="D33" s="501" t="s">
        <v>415</v>
      </c>
      <c r="E33" s="343"/>
      <c r="F33" s="501" t="s">
        <v>174</v>
      </c>
      <c r="G33" s="501"/>
      <c r="H33" s="501" t="s">
        <v>211</v>
      </c>
      <c r="I33" s="501"/>
      <c r="J33" s="501" t="s">
        <v>142</v>
      </c>
    </row>
    <row r="34" spans="1:11" x14ac:dyDescent="0.2">
      <c r="A34" s="354" t="s">
        <v>143</v>
      </c>
      <c r="B34" s="354"/>
      <c r="C34" s="343"/>
      <c r="D34" s="353" t="s">
        <v>163</v>
      </c>
      <c r="E34" s="343"/>
      <c r="F34" s="353" t="s">
        <v>145</v>
      </c>
      <c r="G34" s="501"/>
      <c r="H34" s="353" t="s">
        <v>176</v>
      </c>
      <c r="I34" s="501"/>
      <c r="J34" s="353" t="s">
        <v>177</v>
      </c>
    </row>
    <row r="35" spans="1:11" x14ac:dyDescent="0.2">
      <c r="A35" s="351"/>
      <c r="B35" s="351"/>
      <c r="C35" s="349"/>
      <c r="D35" s="349"/>
      <c r="E35" s="343"/>
      <c r="F35" s="349"/>
      <c r="G35" s="349"/>
      <c r="H35" s="349"/>
      <c r="I35" s="349"/>
      <c r="J35" s="349"/>
    </row>
    <row r="36" spans="1:11" x14ac:dyDescent="0.2">
      <c r="A36" s="349" t="s">
        <v>146</v>
      </c>
      <c r="B36" s="349"/>
      <c r="C36" s="349"/>
      <c r="D36" s="474">
        <f>+'F 5'!D16</f>
        <v>642.9</v>
      </c>
      <c r="E36" s="343"/>
      <c r="F36" s="536">
        <f>+'F 3B 4B'!G58</f>
        <v>1.9</v>
      </c>
      <c r="G36" s="349"/>
      <c r="H36" s="469">
        <f>ROUND(D36*F36,1)</f>
        <v>1221.5</v>
      </c>
      <c r="I36" s="349"/>
      <c r="J36" s="464">
        <f>ROUND(+H36/H$42,4)</f>
        <v>0.5373</v>
      </c>
    </row>
    <row r="37" spans="1:11" x14ac:dyDescent="0.2">
      <c r="A37" s="349" t="s">
        <v>147</v>
      </c>
      <c r="B37" s="349"/>
      <c r="C37" s="349"/>
      <c r="D37" s="474">
        <f>+'F 5'!D17</f>
        <v>433.6</v>
      </c>
      <c r="E37" s="343"/>
      <c r="F37" s="536">
        <f>+'F 3B 4B'!G59</f>
        <v>1.8</v>
      </c>
      <c r="G37" s="349"/>
      <c r="H37" s="469">
        <f>ROUND(D37*F37,1)</f>
        <v>780.5</v>
      </c>
      <c r="I37" s="349"/>
      <c r="J37" s="464">
        <f>ROUND(+H37/H$42,4)</f>
        <v>0.34329999999999999</v>
      </c>
    </row>
    <row r="38" spans="1:11" x14ac:dyDescent="0.2">
      <c r="A38" s="349" t="s">
        <v>148</v>
      </c>
      <c r="B38" s="349"/>
      <c r="C38" s="349"/>
      <c r="D38" s="474">
        <f>+'F 5'!D18</f>
        <v>70.5</v>
      </c>
      <c r="E38" s="343"/>
      <c r="F38" s="536">
        <f>+'F 3B 4B'!G60</f>
        <v>1.1499999999999999</v>
      </c>
      <c r="G38" s="349"/>
      <c r="H38" s="469">
        <f>ROUND(D38*F38,1)</f>
        <v>81.099999999999994</v>
      </c>
      <c r="I38" s="349"/>
      <c r="J38" s="464">
        <f>ROUND(+H38/H$42,4)</f>
        <v>3.5700000000000003E-2</v>
      </c>
    </row>
    <row r="39" spans="1:11" x14ac:dyDescent="0.2">
      <c r="A39" s="349" t="s">
        <v>150</v>
      </c>
      <c r="B39" s="349"/>
      <c r="C39" s="349"/>
      <c r="D39" s="474">
        <f>+'F 5'!D19</f>
        <v>133.1</v>
      </c>
      <c r="E39" s="343"/>
      <c r="F39" s="536">
        <f>+'F 3B 4B'!G61</f>
        <v>1.1000000000000001</v>
      </c>
      <c r="G39" s="349"/>
      <c r="H39" s="469">
        <f>ROUND(D39*F39,1)</f>
        <v>146.4</v>
      </c>
      <c r="I39" s="349"/>
      <c r="J39" s="464">
        <f>ROUND(+H39/H$42,4)</f>
        <v>6.4399999999999999E-2</v>
      </c>
    </row>
    <row r="40" spans="1:11" x14ac:dyDescent="0.2">
      <c r="A40" s="349" t="s">
        <v>267</v>
      </c>
      <c r="B40" s="349"/>
      <c r="C40" s="349"/>
      <c r="D40" s="474">
        <f>+'F 5'!D20</f>
        <v>48.7</v>
      </c>
      <c r="E40" s="343"/>
      <c r="F40" s="536">
        <f>+'F 3B 4B'!G62</f>
        <v>0.9</v>
      </c>
      <c r="G40" s="349"/>
      <c r="H40" s="469">
        <f>ROUND(D40*F40,1)</f>
        <v>43.8</v>
      </c>
      <c r="I40" s="349"/>
      <c r="J40" s="464">
        <f>ROUND(+H40/H$42,4)</f>
        <v>1.9300000000000001E-2</v>
      </c>
    </row>
    <row r="41" spans="1:11" x14ac:dyDescent="0.2">
      <c r="A41" s="349"/>
      <c r="B41" s="349"/>
      <c r="C41" s="349"/>
      <c r="D41" s="476"/>
      <c r="E41" s="343"/>
      <c r="F41" s="349"/>
      <c r="G41" s="349"/>
      <c r="H41" s="478"/>
      <c r="I41" s="349"/>
      <c r="J41" s="355"/>
    </row>
    <row r="42" spans="1:11" ht="15.75" thickBot="1" x14ac:dyDescent="0.25">
      <c r="A42" s="349" t="s">
        <v>212</v>
      </c>
      <c r="B42" s="349"/>
      <c r="C42" s="349"/>
      <c r="D42" s="537">
        <f>SUM(D36:D41)</f>
        <v>1328.8</v>
      </c>
      <c r="E42" s="343"/>
      <c r="F42" s="469"/>
      <c r="G42" s="469"/>
      <c r="H42" s="537">
        <f>SUM(H36:H41)</f>
        <v>2273.3000000000002</v>
      </c>
      <c r="I42" s="349"/>
      <c r="J42" s="479">
        <f>SUM(J36:J41)</f>
        <v>1</v>
      </c>
    </row>
    <row r="43" spans="1:11" ht="15.75" thickTop="1" x14ac:dyDescent="0.2">
      <c r="A43" s="351"/>
      <c r="B43" s="351"/>
      <c r="C43" s="351"/>
      <c r="D43" s="351"/>
      <c r="E43" s="351"/>
      <c r="F43" s="351"/>
      <c r="G43" s="351"/>
      <c r="H43" s="351"/>
      <c r="I43" s="351"/>
      <c r="J43" s="351"/>
      <c r="K43" s="96"/>
    </row>
    <row r="44" spans="1:11" x14ac:dyDescent="0.2">
      <c r="A44" s="349" t="s">
        <v>213</v>
      </c>
      <c r="B44" s="343"/>
      <c r="C44" s="343"/>
      <c r="D44" s="343"/>
      <c r="E44" s="343"/>
      <c r="F44" s="343"/>
      <c r="G44" s="343"/>
      <c r="H44" s="343"/>
      <c r="I44" s="343"/>
      <c r="J44" s="343"/>
    </row>
  </sheetData>
  <mergeCells count="4">
    <mergeCell ref="A32:B32"/>
    <mergeCell ref="A33:B33"/>
    <mergeCell ref="A7:J7"/>
    <mergeCell ref="A16:H16"/>
  </mergeCells>
  <phoneticPr fontId="13" type="noConversion"/>
  <printOptions horizontalCentered="1"/>
  <pageMargins left="1" right="1" top="1" bottom="0.5" header="0.5" footer="0.5"/>
  <pageSetup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H116"/>
  <sheetViews>
    <sheetView workbookViewId="0">
      <selection activeCell="A27" sqref="A27:P27"/>
    </sheetView>
  </sheetViews>
  <sheetFormatPr defaultColWidth="9.77734375" defaultRowHeight="15" x14ac:dyDescent="0.2"/>
  <cols>
    <col min="1" max="2" width="7.77734375" style="78" customWidth="1"/>
    <col min="3" max="3" width="1.21875" style="78" customWidth="1"/>
    <col min="4" max="4" width="7.77734375" style="78" customWidth="1"/>
    <col min="5" max="5" width="1.21875" style="78" customWidth="1"/>
    <col min="6" max="6" width="7.77734375" style="78" customWidth="1"/>
    <col min="7" max="7" width="1.21875" style="78" customWidth="1"/>
    <col min="8" max="8" width="8.88671875" style="78" customWidth="1"/>
    <col min="9" max="9" width="1.21875" style="78" customWidth="1"/>
    <col min="10" max="10" width="7.77734375" style="78" customWidth="1"/>
    <col min="11" max="11" width="1.21875" style="78" customWidth="1"/>
    <col min="12" max="12" width="7.77734375" style="78" customWidth="1"/>
    <col min="13" max="13" width="1.21875" style="78" customWidth="1"/>
    <col min="14" max="14" width="7.77734375" style="78" customWidth="1"/>
    <col min="15" max="15" width="1.21875" style="78" customWidth="1"/>
    <col min="16" max="16" width="7.77734375" style="78" customWidth="1"/>
    <col min="17" max="18" width="9.77734375" style="78"/>
    <col min="19" max="19" width="12.44140625" style="78" bestFit="1" customWidth="1"/>
    <col min="20" max="20" width="9.77734375" style="78"/>
    <col min="21" max="21" width="13.5546875" style="78" bestFit="1" customWidth="1"/>
    <col min="22" max="27" width="9.77734375" style="78"/>
    <col min="28" max="28" width="12.44140625" style="78" bestFit="1" customWidth="1"/>
    <col min="29" max="29" width="9.77734375" style="78"/>
    <col min="30" max="30" width="12.44140625" style="78" bestFit="1" customWidth="1"/>
    <col min="31" max="16384" width="9.77734375" style="78"/>
  </cols>
  <sheetData>
    <row r="1" spans="1:25" x14ac:dyDescent="0.2">
      <c r="A1" s="15" t="s">
        <v>7</v>
      </c>
      <c r="B1" s="33"/>
      <c r="C1" s="33"/>
      <c r="D1" s="34"/>
      <c r="E1" s="34"/>
      <c r="F1" s="34"/>
      <c r="G1" s="34"/>
      <c r="H1" s="34"/>
      <c r="I1" s="34"/>
      <c r="J1" s="34"/>
      <c r="K1" s="34"/>
      <c r="L1" s="34"/>
      <c r="M1" s="34"/>
      <c r="N1" s="34"/>
      <c r="O1" s="34"/>
      <c r="P1" s="34"/>
      <c r="Q1" s="35"/>
    </row>
    <row r="2" spans="1:25" x14ac:dyDescent="0.2">
      <c r="A2" s="34"/>
      <c r="B2" s="34"/>
      <c r="C2" s="34"/>
      <c r="D2" s="34"/>
      <c r="E2" s="34"/>
      <c r="F2" s="34"/>
      <c r="G2" s="34"/>
      <c r="H2" s="34"/>
      <c r="I2" s="34"/>
      <c r="J2" s="34"/>
      <c r="K2" s="34"/>
      <c r="L2" s="34"/>
      <c r="M2" s="34"/>
      <c r="N2" s="34"/>
      <c r="O2" s="34"/>
      <c r="P2" s="34"/>
      <c r="Q2" s="35"/>
    </row>
    <row r="3" spans="1:25" x14ac:dyDescent="0.2">
      <c r="A3" s="366" t="s">
        <v>170</v>
      </c>
      <c r="B3" s="438"/>
      <c r="C3" s="366"/>
      <c r="D3" s="366"/>
      <c r="E3" s="366"/>
      <c r="F3" s="366"/>
      <c r="G3" s="366"/>
      <c r="H3" s="366"/>
      <c r="I3" s="366"/>
      <c r="J3" s="366"/>
      <c r="K3" s="366"/>
      <c r="L3" s="366"/>
      <c r="M3" s="366"/>
      <c r="N3" s="366"/>
      <c r="O3" s="366"/>
      <c r="P3" s="366"/>
      <c r="Q3" s="35"/>
    </row>
    <row r="4" spans="1:25" x14ac:dyDescent="0.2">
      <c r="A4" s="367"/>
      <c r="B4" s="367"/>
      <c r="C4" s="367"/>
      <c r="D4" s="367"/>
      <c r="E4" s="367"/>
      <c r="F4" s="367"/>
      <c r="G4" s="367"/>
      <c r="H4" s="367"/>
      <c r="I4" s="367"/>
      <c r="J4" s="367"/>
      <c r="K4" s="367"/>
      <c r="L4" s="367"/>
      <c r="M4" s="367"/>
      <c r="N4" s="367"/>
      <c r="O4" s="367"/>
      <c r="P4" s="367"/>
      <c r="Q4" s="35"/>
    </row>
    <row r="5" spans="1:25" x14ac:dyDescent="0.2">
      <c r="A5" s="367" t="s">
        <v>97</v>
      </c>
      <c r="B5" s="367"/>
      <c r="C5" s="367"/>
      <c r="D5" s="367"/>
      <c r="E5" s="367"/>
      <c r="F5" s="367"/>
      <c r="G5" s="367"/>
      <c r="H5" s="367"/>
      <c r="I5" s="367"/>
      <c r="J5" s="367"/>
      <c r="K5" s="367"/>
      <c r="L5" s="367"/>
      <c r="M5" s="367"/>
      <c r="N5" s="367"/>
      <c r="O5" s="367"/>
      <c r="P5" s="367"/>
      <c r="Q5" s="35"/>
    </row>
    <row r="6" spans="1:25" x14ac:dyDescent="0.2">
      <c r="A6" s="367"/>
      <c r="B6" s="367"/>
      <c r="C6" s="367"/>
      <c r="D6" s="367"/>
      <c r="E6" s="367"/>
      <c r="F6" s="367"/>
      <c r="G6" s="367"/>
      <c r="H6" s="367"/>
      <c r="I6" s="367"/>
      <c r="J6" s="367"/>
      <c r="K6" s="367"/>
      <c r="L6" s="367"/>
      <c r="M6" s="367"/>
      <c r="N6" s="367"/>
      <c r="O6" s="367"/>
      <c r="P6" s="367"/>
      <c r="Q6" s="35"/>
    </row>
    <row r="7" spans="1:25" ht="41.45" customHeight="1" x14ac:dyDescent="0.2">
      <c r="A7" s="722" t="s">
        <v>226</v>
      </c>
      <c r="B7" s="722"/>
      <c r="C7" s="722"/>
      <c r="D7" s="722"/>
      <c r="E7" s="722"/>
      <c r="F7" s="722"/>
      <c r="G7" s="722"/>
      <c r="H7" s="722"/>
      <c r="I7" s="722"/>
      <c r="J7" s="722"/>
      <c r="K7" s="722"/>
      <c r="L7" s="722"/>
      <c r="M7" s="722"/>
      <c r="N7" s="722"/>
      <c r="O7" s="722"/>
      <c r="P7" s="722"/>
      <c r="Q7" s="35"/>
    </row>
    <row r="8" spans="1:25" x14ac:dyDescent="0.2">
      <c r="A8" s="367"/>
      <c r="B8" s="367"/>
      <c r="C8" s="367"/>
      <c r="D8" s="367"/>
      <c r="E8" s="367"/>
      <c r="F8" s="367"/>
      <c r="G8" s="367"/>
      <c r="H8" s="367"/>
      <c r="I8" s="367"/>
      <c r="J8" s="367"/>
      <c r="K8" s="367"/>
      <c r="L8" s="367"/>
      <c r="M8" s="367"/>
      <c r="N8" s="367"/>
      <c r="O8" s="367"/>
      <c r="P8" s="367"/>
      <c r="Q8" s="35"/>
    </row>
    <row r="9" spans="1:25" x14ac:dyDescent="0.2">
      <c r="A9" s="367"/>
      <c r="B9" s="367"/>
      <c r="C9" s="367"/>
      <c r="D9" s="366" t="s">
        <v>227</v>
      </c>
      <c r="E9" s="366"/>
      <c r="F9" s="366"/>
      <c r="G9" s="367"/>
      <c r="H9" s="366" t="s">
        <v>227</v>
      </c>
      <c r="I9" s="366"/>
      <c r="J9" s="366"/>
      <c r="K9" s="367"/>
      <c r="L9" s="366" t="s">
        <v>228</v>
      </c>
      <c r="M9" s="366"/>
      <c r="N9" s="366"/>
      <c r="O9" s="367"/>
      <c r="P9" s="367"/>
      <c r="Q9" s="35"/>
    </row>
    <row r="10" spans="1:25" x14ac:dyDescent="0.2">
      <c r="A10" s="367"/>
      <c r="B10" s="367"/>
      <c r="C10" s="367"/>
      <c r="D10" s="366" t="s">
        <v>159</v>
      </c>
      <c r="E10" s="366"/>
      <c r="F10" s="366"/>
      <c r="G10" s="367"/>
      <c r="H10" s="366" t="s">
        <v>0</v>
      </c>
      <c r="I10" s="366"/>
      <c r="J10" s="366"/>
      <c r="K10" s="367"/>
      <c r="L10" s="366" t="s">
        <v>159</v>
      </c>
      <c r="M10" s="366"/>
      <c r="N10" s="366"/>
      <c r="O10" s="367"/>
      <c r="P10" s="367"/>
      <c r="Q10" s="35"/>
    </row>
    <row r="11" spans="1:25" x14ac:dyDescent="0.2">
      <c r="A11" s="366" t="s">
        <v>138</v>
      </c>
      <c r="B11" s="366"/>
      <c r="C11" s="367"/>
      <c r="D11" s="368" t="s">
        <v>140</v>
      </c>
      <c r="E11" s="368"/>
      <c r="F11" s="368" t="s">
        <v>161</v>
      </c>
      <c r="G11" s="369"/>
      <c r="H11" s="368" t="s">
        <v>140</v>
      </c>
      <c r="I11" s="368"/>
      <c r="J11" s="368" t="s">
        <v>161</v>
      </c>
      <c r="K11" s="369"/>
      <c r="L11" s="368" t="s">
        <v>140</v>
      </c>
      <c r="M11" s="368"/>
      <c r="N11" s="368" t="s">
        <v>161</v>
      </c>
      <c r="O11" s="369"/>
      <c r="P11" s="369" t="s">
        <v>140</v>
      </c>
      <c r="Q11" s="35"/>
    </row>
    <row r="12" spans="1:25" x14ac:dyDescent="0.2">
      <c r="A12" s="366" t="s">
        <v>141</v>
      </c>
      <c r="B12" s="366"/>
      <c r="C12" s="367"/>
      <c r="D12" s="369" t="s">
        <v>229</v>
      </c>
      <c r="E12" s="369"/>
      <c r="F12" s="369" t="s">
        <v>142</v>
      </c>
      <c r="G12" s="369"/>
      <c r="H12" s="369" t="s">
        <v>230</v>
      </c>
      <c r="I12" s="369"/>
      <c r="J12" s="369" t="s">
        <v>142</v>
      </c>
      <c r="K12" s="369"/>
      <c r="L12" s="369" t="s">
        <v>231</v>
      </c>
      <c r="M12" s="369"/>
      <c r="N12" s="369" t="s">
        <v>142</v>
      </c>
      <c r="O12" s="369"/>
      <c r="P12" s="369" t="s">
        <v>142</v>
      </c>
      <c r="Q12" s="35"/>
    </row>
    <row r="13" spans="1:25" x14ac:dyDescent="0.2">
      <c r="A13" s="370" t="s">
        <v>143</v>
      </c>
      <c r="B13" s="370"/>
      <c r="C13" s="367"/>
      <c r="D13" s="368" t="s">
        <v>163</v>
      </c>
      <c r="E13" s="367"/>
      <c r="F13" s="371" t="s">
        <v>232</v>
      </c>
      <c r="G13" s="367"/>
      <c r="H13" s="368" t="s">
        <v>165</v>
      </c>
      <c r="I13" s="367"/>
      <c r="J13" s="371" t="s">
        <v>233</v>
      </c>
      <c r="K13" s="367"/>
      <c r="L13" s="368" t="s">
        <v>191</v>
      </c>
      <c r="M13" s="367"/>
      <c r="N13" s="371" t="s">
        <v>234</v>
      </c>
      <c r="O13" s="367"/>
      <c r="P13" s="371" t="s">
        <v>235</v>
      </c>
      <c r="Q13" s="35"/>
      <c r="R13" s="78" t="s">
        <v>373</v>
      </c>
      <c r="Y13" s="78" t="s">
        <v>140</v>
      </c>
    </row>
    <row r="14" spans="1:25" x14ac:dyDescent="0.2">
      <c r="A14" s="367"/>
      <c r="B14" s="367"/>
      <c r="C14" s="367"/>
      <c r="D14" s="367"/>
      <c r="E14" s="367"/>
      <c r="F14" s="372">
        <f>L32</f>
        <v>0.4259</v>
      </c>
      <c r="G14" s="372"/>
      <c r="H14" s="372"/>
      <c r="I14" s="372"/>
      <c r="J14" s="372">
        <f>L34</f>
        <v>0.31090000000000001</v>
      </c>
      <c r="K14" s="372"/>
      <c r="L14" s="372"/>
      <c r="M14" s="372"/>
      <c r="N14" s="372">
        <f>L36</f>
        <v>0.26319999999999999</v>
      </c>
      <c r="O14" s="372"/>
      <c r="P14" s="373" t="s">
        <v>236</v>
      </c>
      <c r="Q14" s="35"/>
      <c r="R14" s="78" t="s">
        <v>237</v>
      </c>
      <c r="S14" s="78" t="s">
        <v>131</v>
      </c>
      <c r="T14" s="113">
        <f>+F14</f>
        <v>0.4259</v>
      </c>
      <c r="U14" s="78" t="s">
        <v>129</v>
      </c>
      <c r="V14" s="113">
        <f>+J14</f>
        <v>0.31090000000000001</v>
      </c>
      <c r="W14" s="78" t="s">
        <v>231</v>
      </c>
      <c r="X14" s="113">
        <f>+N14</f>
        <v>0.26319999999999999</v>
      </c>
      <c r="Y14" s="78" t="s">
        <v>142</v>
      </c>
    </row>
    <row r="15" spans="1:25" ht="12.75" customHeight="1" x14ac:dyDescent="0.2">
      <c r="A15" s="367"/>
      <c r="B15" s="367"/>
      <c r="C15" s="367"/>
      <c r="D15" s="367"/>
      <c r="E15" s="367"/>
      <c r="F15" s="367"/>
      <c r="G15" s="367"/>
      <c r="H15" s="367"/>
      <c r="I15" s="367"/>
      <c r="J15" s="367"/>
      <c r="K15" s="367"/>
      <c r="L15" s="367"/>
      <c r="M15" s="367"/>
      <c r="N15" s="367"/>
      <c r="O15" s="367"/>
      <c r="P15" s="367"/>
      <c r="Q15" s="35"/>
    </row>
    <row r="16" spans="1:25" x14ac:dyDescent="0.2">
      <c r="A16" s="367" t="s">
        <v>146</v>
      </c>
      <c r="B16" s="367"/>
      <c r="C16" s="367"/>
      <c r="D16" s="372">
        <f>'F 1-2'!$M$38</f>
        <v>0.50119999999999998</v>
      </c>
      <c r="E16" s="372"/>
      <c r="F16" s="372">
        <f>ROUND(+$F$14*D16,4)-0.0001</f>
        <v>0.21340000000000001</v>
      </c>
      <c r="G16" s="372"/>
      <c r="H16" s="372">
        <f>'F 3-4'!$P$17</f>
        <v>0.46220000000000006</v>
      </c>
      <c r="I16" s="372"/>
      <c r="J16" s="372">
        <f>ROUND(+$J$14*H16,4)</f>
        <v>0.14369999999999999</v>
      </c>
      <c r="K16" s="372"/>
      <c r="L16" s="372">
        <f>'F 3-4'!$R$45</f>
        <v>0.48170000000000002</v>
      </c>
      <c r="M16" s="372"/>
      <c r="N16" s="372">
        <f>ROUND(+$N$14*L16,4)</f>
        <v>0.1268</v>
      </c>
      <c r="O16" s="372"/>
      <c r="P16" s="372">
        <f>N16+F16+J16</f>
        <v>0.4839</v>
      </c>
      <c r="Q16" s="35"/>
      <c r="R16" s="36" t="s">
        <v>238</v>
      </c>
      <c r="S16" s="78">
        <f>'F 1-2'!$G$36-'F 1-2'!$G$43-'F 1-2'!$G$44</f>
        <v>0.56779999999999997</v>
      </c>
      <c r="T16" s="484">
        <f>ROUND(+S16*$F$14,4)</f>
        <v>0.24179999999999999</v>
      </c>
      <c r="U16" s="78">
        <f>'F 3-4'!$F$15-'F 3-4'!$F$22-'F 3-4'!$F$23</f>
        <v>0.52349999999999997</v>
      </c>
      <c r="V16" s="484">
        <f>ROUND(U16*$J$14,4)</f>
        <v>0.1628</v>
      </c>
      <c r="W16" s="78">
        <f>'F 3-4'!$H$43-'F 3-4'!$H$50-'F 3-4'!$H$51</f>
        <v>0.34780000000000005</v>
      </c>
      <c r="X16" s="484">
        <f>W16*$N$14</f>
        <v>9.1540960000000005E-2</v>
      </c>
      <c r="Y16" s="113">
        <f>T16+V16+X16</f>
        <v>0.49614095999999996</v>
      </c>
    </row>
    <row r="17" spans="1:25" x14ac:dyDescent="0.2">
      <c r="A17" s="367" t="s">
        <v>147</v>
      </c>
      <c r="B17" s="367"/>
      <c r="C17" s="367"/>
      <c r="D17" s="372">
        <f>'F 1-2'!$M$39</f>
        <v>0.32279999999999998</v>
      </c>
      <c r="E17" s="372"/>
      <c r="F17" s="372">
        <f t="shared" ref="F17:F22" si="0">ROUND(+$F$14*D17,4)</f>
        <v>0.13750000000000001</v>
      </c>
      <c r="G17" s="372"/>
      <c r="H17" s="372">
        <f>'F 3-4'!$P$18</f>
        <v>0.29749999999999999</v>
      </c>
      <c r="I17" s="372"/>
      <c r="J17" s="372">
        <f t="shared" ref="J17:J22" si="1">ROUND(+$J$14*H17,4)</f>
        <v>9.2499999999999999E-2</v>
      </c>
      <c r="K17" s="372"/>
      <c r="L17" s="372">
        <f>'F 3-4'!$R$46</f>
        <v>0.31430000000000002</v>
      </c>
      <c r="M17" s="372"/>
      <c r="N17" s="372">
        <f t="shared" ref="N17:N22" si="2">ROUND(+$N$14*L17,4)</f>
        <v>8.2699999999999996E-2</v>
      </c>
      <c r="O17" s="372"/>
      <c r="P17" s="372">
        <f t="shared" ref="P17:P22" si="3">N17+F17+J17</f>
        <v>0.31269999999999998</v>
      </c>
      <c r="Q17" s="35"/>
      <c r="R17" s="36" t="s">
        <v>239</v>
      </c>
      <c r="S17" s="78">
        <f>'F 1-2'!$K$36</f>
        <v>0.42859999999999998</v>
      </c>
      <c r="T17" s="484">
        <f>ROUND(+S17*$F$14,4)</f>
        <v>0.1825</v>
      </c>
      <c r="U17" s="78">
        <f>'F 3-4'!$J$15</f>
        <v>0.39510000000000001</v>
      </c>
      <c r="V17" s="484">
        <f>ROUND(U17*$J$14,4)</f>
        <v>0.12280000000000001</v>
      </c>
      <c r="X17" s="484">
        <f>W17*$N$14</f>
        <v>0</v>
      </c>
      <c r="Y17" s="484">
        <f>T17+V17+X17</f>
        <v>0.30530000000000002</v>
      </c>
    </row>
    <row r="18" spans="1:25" x14ac:dyDescent="0.2">
      <c r="A18" s="367" t="s">
        <v>148</v>
      </c>
      <c r="B18" s="367"/>
      <c r="C18" s="367"/>
      <c r="D18" s="372">
        <f>'F 1-2'!$M$40</f>
        <v>4.7500000000000001E-2</v>
      </c>
      <c r="E18" s="372"/>
      <c r="F18" s="570">
        <f t="shared" si="0"/>
        <v>2.0199999999999999E-2</v>
      </c>
      <c r="G18" s="372"/>
      <c r="H18" s="372">
        <f>'F 3-4'!$P$19</f>
        <v>4.3799999999999999E-2</v>
      </c>
      <c r="I18" s="372"/>
      <c r="J18" s="372">
        <f t="shared" si="1"/>
        <v>1.3599999999999999E-2</v>
      </c>
      <c r="K18" s="372"/>
      <c r="L18" s="372">
        <f>'F 3-4'!$R$47</f>
        <v>3.2000000000000002E-3</v>
      </c>
      <c r="M18" s="372"/>
      <c r="N18" s="372">
        <f t="shared" si="2"/>
        <v>8.0000000000000004E-4</v>
      </c>
      <c r="O18" s="372"/>
      <c r="P18" s="372">
        <f t="shared" si="3"/>
        <v>3.4599999999999999E-2</v>
      </c>
      <c r="Q18" s="35"/>
      <c r="R18" s="36" t="s">
        <v>240</v>
      </c>
      <c r="T18" s="484">
        <f>ROUND(+S18*$F$14,4)</f>
        <v>0</v>
      </c>
      <c r="V18" s="484">
        <f>ROUND(U18*$J$14,4)</f>
        <v>0</v>
      </c>
      <c r="W18" s="485">
        <f>'F 3-4'!$L$43</f>
        <v>0.5252</v>
      </c>
      <c r="X18" s="484">
        <f>W18*$N$14</f>
        <v>0.13823263999999999</v>
      </c>
      <c r="Y18" s="484">
        <f>T18+V18+X18</f>
        <v>0.13823263999999999</v>
      </c>
    </row>
    <row r="19" spans="1:25" x14ac:dyDescent="0.2">
      <c r="A19" s="367" t="s">
        <v>150</v>
      </c>
      <c r="B19" s="367"/>
      <c r="C19" s="367"/>
      <c r="D19" s="372">
        <f>'F 1-2'!$M$41</f>
        <v>9.2100000000000001E-2</v>
      </c>
      <c r="E19" s="372"/>
      <c r="F19" s="372">
        <f t="shared" si="0"/>
        <v>3.9199999999999999E-2</v>
      </c>
      <c r="G19" s="372"/>
      <c r="H19" s="372">
        <f>'F 3-4'!$P$20</f>
        <v>8.48E-2</v>
      </c>
      <c r="I19" s="372"/>
      <c r="J19" s="372">
        <f t="shared" si="1"/>
        <v>2.64E-2</v>
      </c>
      <c r="K19" s="372"/>
      <c r="L19" s="372">
        <f>'F 3-4'!$R$48</f>
        <v>7.3800000000000004E-2</v>
      </c>
      <c r="M19" s="372"/>
      <c r="N19" s="570">
        <f t="shared" si="2"/>
        <v>1.9400000000000001E-2</v>
      </c>
      <c r="O19" s="372"/>
      <c r="P19" s="372">
        <f t="shared" si="3"/>
        <v>8.4999999999999992E-2</v>
      </c>
      <c r="Q19" s="35"/>
      <c r="R19" s="36" t="s">
        <v>241</v>
      </c>
      <c r="S19" s="78">
        <f>'F 1-2'!$M$43</f>
        <v>1.8E-3</v>
      </c>
      <c r="T19" s="484">
        <f>ROUND(+S19*$F$14,4)</f>
        <v>8.0000000000000004E-4</v>
      </c>
      <c r="U19" s="78">
        <f>'F 3-4'!$P$22</f>
        <v>3.9299999999999995E-2</v>
      </c>
      <c r="V19" s="484">
        <f>ROUND(U19*$J$14,4)</f>
        <v>1.2200000000000001E-2</v>
      </c>
      <c r="W19" s="78">
        <f>'F 3-4'!$R$50</f>
        <v>6.1399999999999996E-2</v>
      </c>
      <c r="X19" s="484">
        <f>W19*$N$14</f>
        <v>1.6160479999999998E-2</v>
      </c>
      <c r="Y19" s="484">
        <f>T19+V19+X19</f>
        <v>2.9160479999999999E-2</v>
      </c>
    </row>
    <row r="20" spans="1:25" x14ac:dyDescent="0.2">
      <c r="A20" s="367" t="s">
        <v>267</v>
      </c>
      <c r="B20" s="367"/>
      <c r="C20" s="367"/>
      <c r="D20" s="372">
        <f>'F 1-2'!$M$42</f>
        <v>3.2799999999999996E-2</v>
      </c>
      <c r="E20" s="372"/>
      <c r="F20" s="372">
        <f t="shared" si="0"/>
        <v>1.4E-2</v>
      </c>
      <c r="G20" s="372"/>
      <c r="H20" s="372">
        <f>'F 3-4'!$P$21</f>
        <v>3.0300000000000001E-2</v>
      </c>
      <c r="I20" s="372"/>
      <c r="J20" s="372">
        <f>ROUND(+$J$14*H20,4)</f>
        <v>9.4000000000000004E-3</v>
      </c>
      <c r="K20" s="372"/>
      <c r="L20" s="372">
        <f>'F 3-4'!$R$49</f>
        <v>0</v>
      </c>
      <c r="M20" s="372"/>
      <c r="N20" s="372">
        <f t="shared" si="2"/>
        <v>0</v>
      </c>
      <c r="O20" s="372"/>
      <c r="P20" s="372">
        <f t="shared" si="3"/>
        <v>2.3400000000000001E-2</v>
      </c>
      <c r="Q20" s="35"/>
      <c r="R20" s="36" t="s">
        <v>242</v>
      </c>
      <c r="S20" s="78">
        <f>'F 1-2'!$M$44</f>
        <v>1.8E-3</v>
      </c>
      <c r="T20" s="484">
        <f>ROUND(+S20*$F$14,4)</f>
        <v>8.0000000000000004E-4</v>
      </c>
      <c r="U20" s="78">
        <f>'F 3-4'!$P$23</f>
        <v>4.2099999999999999E-2</v>
      </c>
      <c r="V20" s="484">
        <f>ROUND(U20*$J$14,4)</f>
        <v>1.3100000000000001E-2</v>
      </c>
      <c r="W20" s="78">
        <f>'F 3-4'!$R$51</f>
        <v>6.5600000000000006E-2</v>
      </c>
      <c r="X20" s="484">
        <f>W20*$N$14</f>
        <v>1.7265920000000001E-2</v>
      </c>
      <c r="Y20" s="484">
        <f>T20+V20+X20</f>
        <v>3.116592E-2</v>
      </c>
    </row>
    <row r="21" spans="1:25" x14ac:dyDescent="0.2">
      <c r="A21" s="367" t="s">
        <v>152</v>
      </c>
      <c r="B21" s="367"/>
      <c r="C21" s="367"/>
      <c r="D21" s="372">
        <f>'F 1-2'!$M$43</f>
        <v>1.8E-3</v>
      </c>
      <c r="E21" s="372"/>
      <c r="F21" s="372">
        <f t="shared" si="0"/>
        <v>8.0000000000000004E-4</v>
      </c>
      <c r="G21" s="372"/>
      <c r="H21" s="372">
        <f>'F 3-4'!$P$22</f>
        <v>3.9299999999999995E-2</v>
      </c>
      <c r="I21" s="372"/>
      <c r="J21" s="372">
        <f>ROUND(+$J$14*H21,4)</f>
        <v>1.2200000000000001E-2</v>
      </c>
      <c r="K21" s="372"/>
      <c r="L21" s="372">
        <f>'F 3-4'!$R$50</f>
        <v>6.1399999999999996E-2</v>
      </c>
      <c r="M21" s="372"/>
      <c r="N21" s="372">
        <f t="shared" si="2"/>
        <v>1.6199999999999999E-2</v>
      </c>
      <c r="O21" s="372"/>
      <c r="P21" s="372">
        <f t="shared" si="3"/>
        <v>2.9199999999999997E-2</v>
      </c>
      <c r="Q21" s="35"/>
      <c r="R21" s="36"/>
      <c r="S21" s="36"/>
      <c r="T21" s="36"/>
      <c r="U21" s="36"/>
      <c r="V21" s="36"/>
      <c r="W21" s="36"/>
      <c r="X21" s="36"/>
      <c r="Y21" s="36"/>
    </row>
    <row r="22" spans="1:25" x14ac:dyDescent="0.2">
      <c r="A22" s="367" t="s">
        <v>153</v>
      </c>
      <c r="B22" s="367"/>
      <c r="C22" s="367"/>
      <c r="D22" s="372">
        <f>'F 1-2'!$M$44</f>
        <v>1.8E-3</v>
      </c>
      <c r="E22" s="372"/>
      <c r="F22" s="372">
        <f t="shared" si="0"/>
        <v>8.0000000000000004E-4</v>
      </c>
      <c r="G22" s="372"/>
      <c r="H22" s="372">
        <f>'F 3-4'!$P$23</f>
        <v>4.2099999999999999E-2</v>
      </c>
      <c r="I22" s="372"/>
      <c r="J22" s="372">
        <f t="shared" si="1"/>
        <v>1.3100000000000001E-2</v>
      </c>
      <c r="K22" s="372"/>
      <c r="L22" s="372">
        <f>'F 3-4'!$R$51</f>
        <v>6.5600000000000006E-2</v>
      </c>
      <c r="M22" s="372"/>
      <c r="N22" s="372">
        <f t="shared" si="2"/>
        <v>1.7299999999999999E-2</v>
      </c>
      <c r="O22" s="372"/>
      <c r="P22" s="372">
        <f t="shared" si="3"/>
        <v>3.1199999999999999E-2</v>
      </c>
      <c r="Q22" s="35"/>
      <c r="R22" s="36"/>
      <c r="S22" s="484">
        <f t="shared" ref="S22:Y22" si="4">SUM(S16:S21)</f>
        <v>1</v>
      </c>
      <c r="T22" s="484">
        <f t="shared" si="4"/>
        <v>0.42590000000000006</v>
      </c>
      <c r="U22" s="484">
        <f t="shared" si="4"/>
        <v>1</v>
      </c>
      <c r="V22" s="484">
        <f t="shared" si="4"/>
        <v>0.31090000000000001</v>
      </c>
      <c r="W22" s="484">
        <f t="shared" si="4"/>
        <v>1</v>
      </c>
      <c r="X22" s="484">
        <f t="shared" si="4"/>
        <v>0.26319999999999999</v>
      </c>
      <c r="Y22" s="484">
        <f t="shared" si="4"/>
        <v>1</v>
      </c>
    </row>
    <row r="23" spans="1:25" x14ac:dyDescent="0.2">
      <c r="A23" s="367"/>
      <c r="B23" s="367"/>
      <c r="C23" s="367"/>
      <c r="D23" s="481"/>
      <c r="E23" s="372"/>
      <c r="F23" s="481"/>
      <c r="G23" s="372"/>
      <c r="H23" s="481"/>
      <c r="I23" s="372"/>
      <c r="J23" s="481"/>
      <c r="K23" s="372"/>
      <c r="L23" s="481"/>
      <c r="M23" s="372"/>
      <c r="N23" s="481"/>
      <c r="O23" s="372"/>
      <c r="P23" s="481"/>
      <c r="Q23" s="35"/>
    </row>
    <row r="24" spans="1:25" ht="15.75" thickBot="1" x14ac:dyDescent="0.25">
      <c r="A24" s="367" t="s">
        <v>154</v>
      </c>
      <c r="B24" s="367"/>
      <c r="C24" s="367"/>
      <c r="D24" s="372">
        <f>SUM(D16:D23)</f>
        <v>1</v>
      </c>
      <c r="E24" s="372"/>
      <c r="F24" s="483">
        <f>SUM(F16:F23)</f>
        <v>0.42590000000000006</v>
      </c>
      <c r="G24" s="372"/>
      <c r="H24" s="372">
        <f>SUM(H16:H23)</f>
        <v>1</v>
      </c>
      <c r="I24" s="372"/>
      <c r="J24" s="372">
        <f>SUM(J16:J23)</f>
        <v>0.31090000000000001</v>
      </c>
      <c r="K24" s="372"/>
      <c r="L24" s="372">
        <f>SUM(L16:L23)</f>
        <v>1</v>
      </c>
      <c r="M24" s="372"/>
      <c r="N24" s="372">
        <f>SUM(N16:N23)</f>
        <v>0.26319999999999999</v>
      </c>
      <c r="O24" s="372"/>
      <c r="P24" s="372">
        <f>SUM(P16:P23)</f>
        <v>0.99999999999999989</v>
      </c>
      <c r="Q24" s="35"/>
    </row>
    <row r="25" spans="1:25" ht="15.75" thickTop="1" x14ac:dyDescent="0.2">
      <c r="A25" s="367"/>
      <c r="B25" s="367"/>
      <c r="C25" s="367"/>
      <c r="D25" s="374"/>
      <c r="E25" s="367"/>
      <c r="F25" s="375"/>
      <c r="G25" s="367"/>
      <c r="H25" s="374"/>
      <c r="I25" s="367"/>
      <c r="J25" s="374"/>
      <c r="K25" s="367"/>
      <c r="L25" s="374"/>
      <c r="M25" s="367"/>
      <c r="N25" s="374"/>
      <c r="O25" s="367"/>
      <c r="P25" s="374"/>
      <c r="Q25" s="35"/>
    </row>
    <row r="26" spans="1:25" x14ac:dyDescent="0.2">
      <c r="A26" s="367"/>
      <c r="B26" s="367"/>
      <c r="C26" s="367"/>
      <c r="D26" s="367"/>
      <c r="E26" s="367"/>
      <c r="F26" s="367"/>
      <c r="G26" s="367"/>
      <c r="H26" s="367"/>
      <c r="I26" s="367"/>
      <c r="J26" s="367"/>
      <c r="K26" s="367"/>
      <c r="L26" s="367"/>
      <c r="M26" s="367"/>
      <c r="N26" s="367"/>
      <c r="O26" s="367"/>
      <c r="P26" s="367"/>
      <c r="Q26" s="35"/>
    </row>
    <row r="27" spans="1:25" ht="29.85" customHeight="1" x14ac:dyDescent="0.2">
      <c r="A27" s="722" t="s">
        <v>243</v>
      </c>
      <c r="B27" s="722"/>
      <c r="C27" s="722"/>
      <c r="D27" s="722"/>
      <c r="E27" s="722"/>
      <c r="F27" s="722"/>
      <c r="G27" s="722"/>
      <c r="H27" s="722"/>
      <c r="I27" s="722"/>
      <c r="J27" s="722"/>
      <c r="K27" s="722"/>
      <c r="L27" s="722"/>
      <c r="M27" s="722"/>
      <c r="N27" s="722"/>
      <c r="O27" s="722"/>
      <c r="P27" s="722"/>
      <c r="Q27" s="35"/>
    </row>
    <row r="28" spans="1:25" x14ac:dyDescent="0.2">
      <c r="A28" s="367"/>
      <c r="B28" s="367"/>
      <c r="C28" s="367"/>
      <c r="D28" s="367"/>
      <c r="E28" s="367"/>
      <c r="F28" s="367"/>
      <c r="G28" s="367"/>
      <c r="H28" s="367"/>
      <c r="I28" s="367"/>
      <c r="J28" s="367"/>
      <c r="K28" s="367"/>
      <c r="L28" s="367"/>
      <c r="M28" s="367"/>
      <c r="N28" s="367"/>
      <c r="O28" s="367"/>
      <c r="P28" s="367"/>
      <c r="Q28" s="35"/>
      <c r="W28" s="170"/>
    </row>
    <row r="29" spans="1:25" x14ac:dyDescent="0.2">
      <c r="A29" s="367"/>
      <c r="B29" s="367"/>
      <c r="C29" s="367"/>
      <c r="D29" s="367"/>
      <c r="E29" s="367"/>
      <c r="F29" s="376"/>
      <c r="G29" s="369"/>
      <c r="H29" s="369" t="s">
        <v>244</v>
      </c>
      <c r="I29" s="369"/>
      <c r="J29" s="376"/>
      <c r="K29" s="369"/>
      <c r="L29" s="369"/>
      <c r="M29" s="369"/>
      <c r="N29" s="369"/>
      <c r="O29" s="367"/>
      <c r="P29" s="367"/>
      <c r="Q29" s="166"/>
      <c r="R29" s="167"/>
      <c r="S29" s="167"/>
      <c r="T29" s="167"/>
      <c r="U29" s="167"/>
      <c r="V29" s="167"/>
    </row>
    <row r="30" spans="1:25" x14ac:dyDescent="0.2">
      <c r="A30" s="367"/>
      <c r="B30" s="367"/>
      <c r="C30" s="367"/>
      <c r="D30" s="367"/>
      <c r="E30" s="367"/>
      <c r="F30" s="376"/>
      <c r="G30" s="369"/>
      <c r="H30" s="369" t="s">
        <v>245</v>
      </c>
      <c r="I30" s="369"/>
      <c r="J30" s="376"/>
      <c r="K30" s="369"/>
      <c r="L30" s="369" t="s">
        <v>181</v>
      </c>
      <c r="M30" s="369"/>
      <c r="N30" s="376"/>
      <c r="O30" s="367"/>
      <c r="P30" s="367"/>
      <c r="Q30" s="166"/>
      <c r="R30" s="167"/>
      <c r="S30" s="167"/>
      <c r="T30" s="167"/>
      <c r="U30" s="167"/>
      <c r="V30" s="167"/>
    </row>
    <row r="31" spans="1:25" x14ac:dyDescent="0.2">
      <c r="A31" s="367"/>
      <c r="B31" s="367"/>
      <c r="C31" s="367"/>
      <c r="D31" s="367"/>
      <c r="E31" s="367"/>
      <c r="F31" s="376"/>
      <c r="G31" s="367"/>
      <c r="H31" s="377"/>
      <c r="I31" s="367"/>
      <c r="J31" s="376"/>
      <c r="K31" s="367"/>
      <c r="L31" s="377"/>
      <c r="M31" s="367"/>
      <c r="N31" s="376"/>
      <c r="O31" s="367"/>
      <c r="P31" s="367"/>
      <c r="Q31" s="166"/>
      <c r="R31" s="167"/>
      <c r="S31" s="167"/>
      <c r="T31" s="167"/>
      <c r="U31" s="167"/>
      <c r="V31" s="167"/>
    </row>
    <row r="32" spans="1:25" x14ac:dyDescent="0.2">
      <c r="A32" s="367" t="s">
        <v>246</v>
      </c>
      <c r="B32" s="376"/>
      <c r="C32" s="367"/>
      <c r="D32" s="367"/>
      <c r="E32" s="367"/>
      <c r="F32" s="376"/>
      <c r="G32" s="367"/>
      <c r="H32" s="378">
        <v>10200</v>
      </c>
      <c r="I32" s="367"/>
      <c r="J32" s="376"/>
      <c r="K32" s="367"/>
      <c r="L32" s="372">
        <f>ROUND(+H32/H38,4)</f>
        <v>0.4259</v>
      </c>
      <c r="M32" s="367"/>
      <c r="N32" s="376"/>
      <c r="O32" s="367"/>
      <c r="P32" s="367"/>
      <c r="Q32" s="166"/>
      <c r="R32" s="167"/>
      <c r="S32" s="167"/>
      <c r="T32" s="167"/>
      <c r="U32" s="167"/>
      <c r="V32" s="167"/>
    </row>
    <row r="33" spans="1:22" x14ac:dyDescent="0.2">
      <c r="A33" s="367"/>
      <c r="B33" s="376"/>
      <c r="C33" s="367"/>
      <c r="D33" s="367"/>
      <c r="E33" s="367"/>
      <c r="F33" s="376"/>
      <c r="G33" s="367"/>
      <c r="H33" s="378"/>
      <c r="I33" s="367"/>
      <c r="J33" s="376"/>
      <c r="K33" s="367"/>
      <c r="L33" s="372"/>
      <c r="M33" s="367"/>
      <c r="N33" s="376"/>
      <c r="O33" s="367"/>
      <c r="P33" s="367"/>
      <c r="Q33" s="166"/>
      <c r="R33" s="167"/>
      <c r="S33" s="167"/>
      <c r="T33" s="167"/>
      <c r="U33" s="167"/>
      <c r="V33" s="167"/>
    </row>
    <row r="34" spans="1:22" x14ac:dyDescent="0.2">
      <c r="A34" s="367" t="s">
        <v>247</v>
      </c>
      <c r="B34" s="376"/>
      <c r="C34" s="367"/>
      <c r="D34" s="367"/>
      <c r="E34" s="367"/>
      <c r="F34" s="376"/>
      <c r="G34" s="367"/>
      <c r="H34" s="378">
        <v>7447</v>
      </c>
      <c r="I34" s="367"/>
      <c r="J34" s="376"/>
      <c r="K34" s="367"/>
      <c r="L34" s="372">
        <f>ROUND(+H34/H38,4)</f>
        <v>0.31090000000000001</v>
      </c>
      <c r="M34" s="367"/>
      <c r="N34" s="376"/>
      <c r="O34" s="367"/>
      <c r="P34" s="367"/>
      <c r="Q34" s="166"/>
      <c r="R34" s="167"/>
      <c r="S34" s="167"/>
      <c r="T34" s="167"/>
      <c r="U34" s="167"/>
      <c r="V34" s="167"/>
    </row>
    <row r="35" spans="1:22" x14ac:dyDescent="0.2">
      <c r="A35" s="367"/>
      <c r="B35" s="376"/>
      <c r="C35" s="367"/>
      <c r="D35" s="367"/>
      <c r="E35" s="367"/>
      <c r="F35" s="376"/>
      <c r="G35" s="367"/>
      <c r="H35" s="378"/>
      <c r="I35" s="367"/>
      <c r="J35" s="376"/>
      <c r="K35" s="367"/>
      <c r="L35" s="372"/>
      <c r="M35" s="367"/>
      <c r="N35" s="376"/>
      <c r="O35" s="367"/>
      <c r="P35" s="367"/>
      <c r="Q35" s="166"/>
      <c r="R35" s="167"/>
      <c r="S35" s="167"/>
      <c r="T35" s="167"/>
      <c r="U35" s="167"/>
      <c r="V35" s="167"/>
    </row>
    <row r="36" spans="1:22" x14ac:dyDescent="0.2">
      <c r="A36" s="367" t="s">
        <v>248</v>
      </c>
      <c r="B36" s="376"/>
      <c r="C36" s="367"/>
      <c r="D36" s="367"/>
      <c r="E36" s="367"/>
      <c r="F36" s="376"/>
      <c r="G36" s="367"/>
      <c r="H36" s="378">
        <v>6305</v>
      </c>
      <c r="I36" s="367"/>
      <c r="J36" s="376"/>
      <c r="K36" s="367"/>
      <c r="L36" s="372">
        <f>ROUND(+H36/H38,4)</f>
        <v>0.26319999999999999</v>
      </c>
      <c r="M36" s="367"/>
      <c r="N36" s="376"/>
      <c r="O36" s="367"/>
      <c r="P36" s="367"/>
      <c r="Q36" s="166"/>
      <c r="R36" s="167"/>
      <c r="S36" s="167"/>
      <c r="T36" s="167"/>
      <c r="U36" s="167"/>
      <c r="V36" s="167"/>
    </row>
    <row r="37" spans="1:22" x14ac:dyDescent="0.2">
      <c r="A37" s="367"/>
      <c r="B37" s="367"/>
      <c r="C37" s="367"/>
      <c r="D37" s="367"/>
      <c r="E37" s="367"/>
      <c r="F37" s="376"/>
      <c r="G37" s="367"/>
      <c r="H37" s="480"/>
      <c r="I37" s="367"/>
      <c r="J37" s="376"/>
      <c r="K37" s="367"/>
      <c r="L37" s="481"/>
      <c r="M37" s="367"/>
      <c r="N37" s="376"/>
      <c r="O37" s="367"/>
      <c r="P37" s="367"/>
      <c r="Q37" s="166"/>
      <c r="R37" s="167"/>
      <c r="S37" s="167"/>
      <c r="T37" s="167"/>
      <c r="U37" s="167"/>
      <c r="V37" s="167"/>
    </row>
    <row r="38" spans="1:22" ht="15.75" thickBot="1" x14ac:dyDescent="0.25">
      <c r="A38" s="367"/>
      <c r="B38" s="367" t="s">
        <v>249</v>
      </c>
      <c r="C38" s="367"/>
      <c r="D38" s="367"/>
      <c r="E38" s="367"/>
      <c r="F38" s="376"/>
      <c r="G38" s="367"/>
      <c r="H38" s="482">
        <f>SUM(H32:H37)</f>
        <v>23952</v>
      </c>
      <c r="I38" s="367"/>
      <c r="J38" s="376"/>
      <c r="K38" s="367"/>
      <c r="L38" s="372">
        <f>SUM(L32:L37)</f>
        <v>1</v>
      </c>
      <c r="M38" s="367"/>
      <c r="N38" s="376"/>
      <c r="O38" s="367"/>
      <c r="P38" s="367"/>
      <c r="Q38" s="166"/>
      <c r="R38" s="167"/>
      <c r="S38" s="167"/>
      <c r="T38" s="167"/>
      <c r="U38" s="167"/>
      <c r="V38" s="167"/>
    </row>
    <row r="39" spans="1:22" ht="15.75" thickTop="1" x14ac:dyDescent="0.2">
      <c r="A39" s="367"/>
      <c r="B39" s="367"/>
      <c r="C39" s="367"/>
      <c r="D39" s="367"/>
      <c r="E39" s="367"/>
      <c r="F39" s="367"/>
      <c r="G39" s="367"/>
      <c r="H39" s="375"/>
      <c r="I39" s="367"/>
      <c r="J39" s="378"/>
      <c r="K39" s="367"/>
      <c r="L39" s="374"/>
      <c r="M39" s="367"/>
      <c r="N39" s="376"/>
      <c r="O39" s="367"/>
      <c r="P39" s="367"/>
      <c r="Q39" s="166"/>
      <c r="R39" s="167"/>
      <c r="S39" s="167"/>
      <c r="T39" s="167"/>
      <c r="U39" s="167"/>
      <c r="V39" s="167"/>
    </row>
    <row r="40" spans="1:22" x14ac:dyDescent="0.2">
      <c r="A40" s="367"/>
      <c r="B40" s="367"/>
      <c r="C40" s="367"/>
      <c r="D40" s="367"/>
      <c r="E40" s="367"/>
      <c r="F40" s="367"/>
      <c r="G40" s="367"/>
      <c r="H40" s="376"/>
      <c r="I40" s="376"/>
      <c r="J40" s="376"/>
      <c r="K40" s="367"/>
      <c r="L40" s="367"/>
      <c r="M40" s="367"/>
      <c r="N40" s="367"/>
      <c r="O40" s="367"/>
      <c r="P40" s="367"/>
      <c r="Q40" s="166"/>
      <c r="R40" s="167"/>
      <c r="S40" s="167"/>
      <c r="T40" s="167"/>
      <c r="U40" s="167"/>
      <c r="V40" s="167"/>
    </row>
    <row r="41" spans="1:22" x14ac:dyDescent="0.2">
      <c r="A41" s="15" t="s">
        <v>7</v>
      </c>
      <c r="B41" s="366"/>
      <c r="C41" s="366"/>
      <c r="D41" s="366"/>
      <c r="E41" s="366"/>
      <c r="F41" s="366"/>
      <c r="G41" s="366"/>
      <c r="H41" s="366"/>
      <c r="I41" s="366"/>
      <c r="J41" s="366"/>
      <c r="K41" s="366"/>
      <c r="L41" s="366"/>
      <c r="M41" s="366"/>
      <c r="N41" s="366"/>
      <c r="O41" s="366"/>
      <c r="P41" s="366"/>
      <c r="Q41" s="167"/>
      <c r="R41" s="167"/>
      <c r="S41" s="167"/>
      <c r="T41" s="167"/>
      <c r="U41" s="167"/>
      <c r="V41" s="167"/>
    </row>
    <row r="42" spans="1:22" x14ac:dyDescent="0.2">
      <c r="A42" s="293"/>
      <c r="B42" s="366"/>
      <c r="C42" s="366"/>
      <c r="D42" s="366"/>
      <c r="E42" s="366"/>
      <c r="F42" s="366"/>
      <c r="G42" s="366"/>
      <c r="H42" s="366"/>
      <c r="I42" s="366"/>
      <c r="J42" s="366"/>
      <c r="K42" s="366"/>
      <c r="L42" s="366"/>
      <c r="M42" s="366"/>
      <c r="N42" s="366"/>
      <c r="O42" s="366"/>
      <c r="P42" s="366"/>
      <c r="Q42" s="167"/>
      <c r="R42" s="167"/>
      <c r="S42" s="167"/>
      <c r="T42" s="167"/>
      <c r="U42" s="167"/>
      <c r="V42" s="167"/>
    </row>
    <row r="43" spans="1:22" x14ac:dyDescent="0.2">
      <c r="A43" s="366" t="s">
        <v>170</v>
      </c>
      <c r="B43" s="366"/>
      <c r="C43" s="366"/>
      <c r="D43" s="366"/>
      <c r="E43" s="366"/>
      <c r="F43" s="366"/>
      <c r="G43" s="366"/>
      <c r="H43" s="366"/>
      <c r="I43" s="366"/>
      <c r="J43" s="366"/>
      <c r="K43" s="366"/>
      <c r="L43" s="366"/>
      <c r="M43" s="366"/>
      <c r="N43" s="366"/>
      <c r="O43" s="366"/>
      <c r="P43" s="366"/>
      <c r="Q43" s="167"/>
      <c r="R43" s="167"/>
      <c r="S43" s="167"/>
      <c r="T43" s="167"/>
      <c r="U43" s="167"/>
      <c r="V43" s="167"/>
    </row>
    <row r="44" spans="1:22" x14ac:dyDescent="0.2">
      <c r="A44" s="367"/>
      <c r="B44" s="367"/>
      <c r="C44" s="367"/>
      <c r="D44" s="367"/>
      <c r="E44" s="367"/>
      <c r="F44" s="367"/>
      <c r="G44" s="367"/>
      <c r="H44" s="367"/>
      <c r="I44" s="367"/>
      <c r="J44" s="367"/>
      <c r="K44" s="367"/>
      <c r="L44" s="367"/>
      <c r="M44" s="367"/>
      <c r="N44" s="367"/>
      <c r="O44" s="367"/>
      <c r="P44" s="367"/>
      <c r="Q44" s="167"/>
      <c r="R44" s="167"/>
      <c r="S44" s="167"/>
      <c r="T44" s="167"/>
      <c r="U44" s="167"/>
      <c r="V44" s="167"/>
    </row>
    <row r="45" spans="1:22" x14ac:dyDescent="0.2">
      <c r="A45" s="367" t="s">
        <v>98</v>
      </c>
      <c r="B45" s="367"/>
      <c r="C45" s="367"/>
      <c r="D45" s="367"/>
      <c r="E45" s="367"/>
      <c r="F45" s="367"/>
      <c r="G45" s="367"/>
      <c r="H45" s="367"/>
      <c r="I45" s="367"/>
      <c r="J45" s="367"/>
      <c r="K45" s="367"/>
      <c r="L45" s="367"/>
      <c r="M45" s="367"/>
      <c r="N45" s="367"/>
      <c r="O45" s="367"/>
      <c r="P45" s="367"/>
    </row>
    <row r="46" spans="1:22" x14ac:dyDescent="0.2">
      <c r="A46" s="367"/>
      <c r="B46" s="367"/>
      <c r="C46" s="367"/>
      <c r="D46" s="367"/>
      <c r="E46" s="367"/>
      <c r="F46" s="367"/>
      <c r="G46" s="367"/>
      <c r="H46" s="367"/>
      <c r="I46" s="367"/>
      <c r="J46" s="367"/>
      <c r="K46" s="367"/>
      <c r="L46" s="367"/>
      <c r="M46" s="367"/>
      <c r="N46" s="367"/>
      <c r="O46" s="367"/>
      <c r="P46" s="367"/>
    </row>
    <row r="47" spans="1:22" ht="30.2" customHeight="1" x14ac:dyDescent="0.2">
      <c r="A47" s="722" t="s">
        <v>118</v>
      </c>
      <c r="B47" s="722"/>
      <c r="C47" s="722"/>
      <c r="D47" s="722"/>
      <c r="E47" s="722"/>
      <c r="F47" s="722"/>
      <c r="G47" s="722"/>
      <c r="H47" s="722"/>
      <c r="I47" s="722"/>
      <c r="J47" s="722"/>
      <c r="K47" s="722"/>
      <c r="L47" s="722"/>
      <c r="M47" s="722"/>
      <c r="N47" s="722"/>
      <c r="O47" s="722"/>
      <c r="P47" s="722"/>
    </row>
    <row r="48" spans="1:22" x14ac:dyDescent="0.2">
      <c r="A48" s="367"/>
      <c r="B48" s="367"/>
      <c r="C48" s="367"/>
      <c r="D48" s="367"/>
      <c r="E48" s="367"/>
      <c r="F48" s="367"/>
      <c r="G48" s="367"/>
      <c r="H48" s="367"/>
      <c r="I48" s="367"/>
      <c r="J48" s="367"/>
      <c r="K48" s="367"/>
      <c r="L48" s="367"/>
      <c r="M48" s="367"/>
      <c r="N48" s="367"/>
      <c r="O48" s="367"/>
      <c r="P48" s="367"/>
    </row>
    <row r="49" spans="1:25" x14ac:dyDescent="0.2">
      <c r="A49" s="367"/>
      <c r="B49" s="367"/>
      <c r="C49" s="367"/>
      <c r="D49" s="376"/>
      <c r="E49" s="376"/>
      <c r="F49" s="366" t="s">
        <v>227</v>
      </c>
      <c r="G49" s="366"/>
      <c r="H49" s="366"/>
      <c r="I49" s="367"/>
      <c r="J49" s="366" t="s">
        <v>228</v>
      </c>
      <c r="K49" s="366"/>
      <c r="L49" s="366"/>
      <c r="M49" s="367"/>
      <c r="N49" s="367"/>
      <c r="O49" s="376"/>
      <c r="P49" s="376"/>
    </row>
    <row r="50" spans="1:25" x14ac:dyDescent="0.2">
      <c r="A50" s="376"/>
      <c r="B50" s="367"/>
      <c r="C50" s="367"/>
      <c r="D50" s="376"/>
      <c r="E50" s="376"/>
      <c r="F50" s="366" t="s">
        <v>0</v>
      </c>
      <c r="G50" s="366"/>
      <c r="H50" s="366"/>
      <c r="I50" s="367"/>
      <c r="J50" s="366" t="s">
        <v>159</v>
      </c>
      <c r="K50" s="366"/>
      <c r="L50" s="366"/>
      <c r="M50" s="367"/>
      <c r="N50" s="367"/>
      <c r="O50" s="376"/>
      <c r="P50" s="376"/>
    </row>
    <row r="51" spans="1:25" x14ac:dyDescent="0.2">
      <c r="A51" s="376"/>
      <c r="B51" s="366" t="s">
        <v>138</v>
      </c>
      <c r="C51" s="366"/>
      <c r="D51" s="366"/>
      <c r="E51" s="376"/>
      <c r="F51" s="368" t="s">
        <v>140</v>
      </c>
      <c r="G51" s="368"/>
      <c r="H51" s="368" t="s">
        <v>161</v>
      </c>
      <c r="I51" s="369"/>
      <c r="J51" s="368" t="s">
        <v>140</v>
      </c>
      <c r="K51" s="368"/>
      <c r="L51" s="368" t="s">
        <v>161</v>
      </c>
      <c r="M51" s="369"/>
      <c r="N51" s="369" t="s">
        <v>140</v>
      </c>
      <c r="O51" s="376"/>
      <c r="P51" s="376"/>
    </row>
    <row r="52" spans="1:25" x14ac:dyDescent="0.2">
      <c r="A52" s="376"/>
      <c r="B52" s="366" t="s">
        <v>141</v>
      </c>
      <c r="C52" s="366"/>
      <c r="D52" s="366"/>
      <c r="E52" s="376"/>
      <c r="F52" s="369" t="s">
        <v>230</v>
      </c>
      <c r="G52" s="369"/>
      <c r="H52" s="369" t="s">
        <v>142</v>
      </c>
      <c r="I52" s="369"/>
      <c r="J52" s="369" t="s">
        <v>231</v>
      </c>
      <c r="K52" s="369"/>
      <c r="L52" s="369" t="s">
        <v>142</v>
      </c>
      <c r="M52" s="369"/>
      <c r="N52" s="369" t="s">
        <v>142</v>
      </c>
      <c r="O52" s="376"/>
      <c r="P52" s="376"/>
      <c r="Y52" s="78" t="s">
        <v>140</v>
      </c>
    </row>
    <row r="53" spans="1:25" x14ac:dyDescent="0.2">
      <c r="A53" s="376"/>
      <c r="B53" s="370" t="s">
        <v>143</v>
      </c>
      <c r="C53" s="370"/>
      <c r="D53" s="370"/>
      <c r="E53" s="376"/>
      <c r="F53" s="368" t="s">
        <v>163</v>
      </c>
      <c r="G53" s="367"/>
      <c r="H53" s="371" t="s">
        <v>232</v>
      </c>
      <c r="I53" s="367"/>
      <c r="J53" s="368" t="s">
        <v>165</v>
      </c>
      <c r="K53" s="367"/>
      <c r="L53" s="371" t="s">
        <v>233</v>
      </c>
      <c r="M53" s="367"/>
      <c r="N53" s="368" t="s">
        <v>167</v>
      </c>
      <c r="O53" s="376"/>
      <c r="P53" s="376"/>
      <c r="S53" s="78" t="s">
        <v>129</v>
      </c>
      <c r="T53" s="113">
        <f>+H54</f>
        <v>0.222</v>
      </c>
      <c r="U53" s="78" t="s">
        <v>130</v>
      </c>
      <c r="V53" s="113">
        <f>+L54</f>
        <v>0.77800000000000002</v>
      </c>
      <c r="Y53" s="78" t="s">
        <v>142</v>
      </c>
    </row>
    <row r="54" spans="1:25" x14ac:dyDescent="0.2">
      <c r="A54" s="376"/>
      <c r="B54" s="367"/>
      <c r="C54" s="367"/>
      <c r="D54" s="376"/>
      <c r="E54" s="376"/>
      <c r="F54" s="372"/>
      <c r="G54" s="372"/>
      <c r="H54" s="372">
        <f>N72</f>
        <v>0.222</v>
      </c>
      <c r="I54" s="372"/>
      <c r="J54" s="372"/>
      <c r="K54" s="372"/>
      <c r="L54" s="372">
        <f>N74</f>
        <v>0.77800000000000002</v>
      </c>
      <c r="M54" s="372"/>
      <c r="N54" s="373"/>
      <c r="O54" s="376"/>
      <c r="P54" s="376"/>
    </row>
    <row r="55" spans="1:25" x14ac:dyDescent="0.2">
      <c r="A55" s="376"/>
      <c r="B55" s="367"/>
      <c r="C55" s="367"/>
      <c r="D55" s="376"/>
      <c r="E55" s="376"/>
      <c r="F55" s="367"/>
      <c r="G55" s="367"/>
      <c r="H55" s="367"/>
      <c r="I55" s="367"/>
      <c r="J55" s="367"/>
      <c r="K55" s="367"/>
      <c r="L55" s="367"/>
      <c r="M55" s="367"/>
      <c r="N55" s="367"/>
      <c r="O55" s="376"/>
      <c r="P55" s="376"/>
      <c r="R55" s="36" t="s">
        <v>238</v>
      </c>
      <c r="S55" s="78">
        <f>+'F 3-4'!F15-'F 3-4'!F22-'F 3-4'!F23</f>
        <v>0.52349999999999997</v>
      </c>
      <c r="T55" s="484">
        <f>ROUND(S55*$H$54,4)</f>
        <v>0.1162</v>
      </c>
      <c r="U55" s="485">
        <f>+'F 3-4'!H43-'F 3-4'!H50-'F 3-4'!H51</f>
        <v>0.34780000000000005</v>
      </c>
      <c r="V55" s="484">
        <f>ROUND(U55*$L$54,4)+0.0001</f>
        <v>0.2707</v>
      </c>
      <c r="X55" s="484"/>
      <c r="Y55" s="113">
        <f>T55+V55+X55-0</f>
        <v>0.38690000000000002</v>
      </c>
    </row>
    <row r="56" spans="1:25" x14ac:dyDescent="0.2">
      <c r="A56" s="376"/>
      <c r="B56" s="367" t="s">
        <v>146</v>
      </c>
      <c r="C56" s="367"/>
      <c r="D56" s="376"/>
      <c r="E56" s="376"/>
      <c r="F56" s="372">
        <f>'F 3-4'!$P$17</f>
        <v>0.46220000000000006</v>
      </c>
      <c r="G56" s="372"/>
      <c r="H56" s="372">
        <f>ROUND($H$54*F56,4)+0.0002</f>
        <v>0.1028</v>
      </c>
      <c r="I56" s="372"/>
      <c r="J56" s="372">
        <f>+'F 3-4'!R45</f>
        <v>0.48170000000000002</v>
      </c>
      <c r="K56" s="372"/>
      <c r="L56" s="372">
        <f>ROUND($L$54*J56,4)</f>
        <v>0.37480000000000002</v>
      </c>
      <c r="M56" s="372"/>
      <c r="N56" s="372">
        <f t="shared" ref="N56:N62" si="5">H56+L56</f>
        <v>0.47760000000000002</v>
      </c>
      <c r="O56" s="376"/>
      <c r="P56" s="376"/>
      <c r="R56" s="36" t="s">
        <v>239</v>
      </c>
      <c r="S56" s="78">
        <f>+'F 3-4'!J15</f>
        <v>0.39510000000000001</v>
      </c>
      <c r="T56" s="484">
        <f>ROUND(S56*$H$54,4)</f>
        <v>8.77E-2</v>
      </c>
      <c r="U56" s="485"/>
      <c r="V56" s="484">
        <f>ROUND(U56*$L$54,4)</f>
        <v>0</v>
      </c>
      <c r="X56" s="484"/>
      <c r="Y56" s="484">
        <f>T56+V56+X56</f>
        <v>8.77E-2</v>
      </c>
    </row>
    <row r="57" spans="1:25" x14ac:dyDescent="0.2">
      <c r="A57" s="376"/>
      <c r="B57" s="367" t="s">
        <v>147</v>
      </c>
      <c r="C57" s="367"/>
      <c r="D57" s="376"/>
      <c r="E57" s="376"/>
      <c r="F57" s="372">
        <f>'F 3-4'!$P$18</f>
        <v>0.29749999999999999</v>
      </c>
      <c r="G57" s="372"/>
      <c r="H57" s="372">
        <f t="shared" ref="H57:H62" si="6">ROUND($H$54*F57,4)</f>
        <v>6.6000000000000003E-2</v>
      </c>
      <c r="I57" s="372"/>
      <c r="J57" s="372">
        <f>+'F 3-4'!R46</f>
        <v>0.31430000000000002</v>
      </c>
      <c r="K57" s="372"/>
      <c r="L57" s="372">
        <f t="shared" ref="L57:L62" si="7">ROUND($L$54*J57,4)</f>
        <v>0.2445</v>
      </c>
      <c r="M57" s="372"/>
      <c r="N57" s="372">
        <f t="shared" si="5"/>
        <v>0.3105</v>
      </c>
      <c r="O57" s="376"/>
      <c r="P57" s="376"/>
      <c r="R57" s="36" t="s">
        <v>240</v>
      </c>
      <c r="S57" s="78">
        <f>'F 3B 4B'!I16</f>
        <v>0</v>
      </c>
      <c r="T57" s="484">
        <f>ROUND(S57*$H$54,4)</f>
        <v>0</v>
      </c>
      <c r="U57" s="485">
        <f>+'F 3-4'!L43</f>
        <v>0.5252</v>
      </c>
      <c r="V57" s="484">
        <f>ROUND(U57*$L$54,4)</f>
        <v>0.40860000000000002</v>
      </c>
      <c r="X57" s="484"/>
      <c r="Y57" s="484">
        <f>T57+V57+X57</f>
        <v>0.40860000000000002</v>
      </c>
    </row>
    <row r="58" spans="1:25" x14ac:dyDescent="0.2">
      <c r="A58" s="376"/>
      <c r="B58" s="367" t="s">
        <v>148</v>
      </c>
      <c r="C58" s="367"/>
      <c r="D58" s="376"/>
      <c r="E58" s="376"/>
      <c r="F58" s="372">
        <f>'F 3-4'!$P$19</f>
        <v>4.3799999999999999E-2</v>
      </c>
      <c r="G58" s="372"/>
      <c r="H58" s="372">
        <f t="shared" si="6"/>
        <v>9.7000000000000003E-3</v>
      </c>
      <c r="I58" s="372"/>
      <c r="J58" s="372">
        <f>+'F 3-4'!R47</f>
        <v>3.2000000000000002E-3</v>
      </c>
      <c r="K58" s="372"/>
      <c r="L58" s="372">
        <f t="shared" si="7"/>
        <v>2.5000000000000001E-3</v>
      </c>
      <c r="M58" s="372"/>
      <c r="N58" s="372">
        <f t="shared" si="5"/>
        <v>1.2200000000000001E-2</v>
      </c>
      <c r="O58" s="376"/>
      <c r="P58" s="376"/>
      <c r="R58" s="36" t="s">
        <v>241</v>
      </c>
      <c r="S58" s="484">
        <f>+'F 3-4'!P22</f>
        <v>3.9299999999999995E-2</v>
      </c>
      <c r="T58" s="484">
        <f>ROUND(S58*$H$54,4)</f>
        <v>8.6999999999999994E-3</v>
      </c>
      <c r="U58" s="485">
        <f>+'F 3-4'!R50</f>
        <v>6.1399999999999996E-2</v>
      </c>
      <c r="V58" s="484">
        <f>ROUND(U58*$L$54,4)</f>
        <v>4.7800000000000002E-2</v>
      </c>
      <c r="X58" s="484"/>
      <c r="Y58" s="484">
        <f>T58+V58+X58</f>
        <v>5.6500000000000002E-2</v>
      </c>
    </row>
    <row r="59" spans="1:25" x14ac:dyDescent="0.2">
      <c r="A59" s="376"/>
      <c r="B59" s="367" t="s">
        <v>150</v>
      </c>
      <c r="C59" s="367"/>
      <c r="D59" s="376"/>
      <c r="E59" s="376"/>
      <c r="F59" s="372">
        <f>'F 3-4'!$P$20</f>
        <v>8.48E-2</v>
      </c>
      <c r="G59" s="372"/>
      <c r="H59" s="372">
        <f t="shared" si="6"/>
        <v>1.8800000000000001E-2</v>
      </c>
      <c r="I59" s="372"/>
      <c r="J59" s="372">
        <f>+'F 3-4'!R48</f>
        <v>7.3800000000000004E-2</v>
      </c>
      <c r="K59" s="372"/>
      <c r="L59" s="372">
        <f t="shared" si="7"/>
        <v>5.74E-2</v>
      </c>
      <c r="M59" s="372"/>
      <c r="N59" s="372">
        <f t="shared" si="5"/>
        <v>7.6200000000000004E-2</v>
      </c>
      <c r="O59" s="376"/>
      <c r="P59" s="376"/>
      <c r="R59" s="36" t="s">
        <v>242</v>
      </c>
      <c r="S59" s="484">
        <f>+'F 3-4'!P23</f>
        <v>4.2099999999999999E-2</v>
      </c>
      <c r="T59" s="484">
        <f>ROUND(S59*$H$54,4)</f>
        <v>9.2999999999999992E-3</v>
      </c>
      <c r="U59" s="485">
        <f>+'F 3-4'!R51</f>
        <v>6.5600000000000006E-2</v>
      </c>
      <c r="V59" s="484">
        <f>ROUND(U59*$L$54,4)</f>
        <v>5.0999999999999997E-2</v>
      </c>
      <c r="X59" s="484"/>
      <c r="Y59" s="484">
        <f>T59+V59+X59</f>
        <v>6.0299999999999992E-2</v>
      </c>
    </row>
    <row r="60" spans="1:25" x14ac:dyDescent="0.2">
      <c r="A60" s="376"/>
      <c r="B60" s="367" t="s">
        <v>267</v>
      </c>
      <c r="C60" s="367"/>
      <c r="D60" s="376"/>
      <c r="E60" s="376"/>
      <c r="F60" s="372">
        <f>'F 3-4'!$P$21</f>
        <v>3.0300000000000001E-2</v>
      </c>
      <c r="G60" s="372"/>
      <c r="H60" s="372">
        <f t="shared" si="6"/>
        <v>6.7000000000000002E-3</v>
      </c>
      <c r="I60" s="372"/>
      <c r="J60" s="372">
        <f>+'F 3-4'!R49</f>
        <v>0</v>
      </c>
      <c r="K60" s="372"/>
      <c r="L60" s="372">
        <f t="shared" si="7"/>
        <v>0</v>
      </c>
      <c r="M60" s="372"/>
      <c r="N60" s="372">
        <f t="shared" si="5"/>
        <v>6.7000000000000002E-3</v>
      </c>
      <c r="O60" s="376"/>
      <c r="P60" s="376"/>
      <c r="R60" s="36"/>
      <c r="U60" s="485"/>
      <c r="V60" s="484"/>
      <c r="X60" s="484"/>
      <c r="Y60" s="484"/>
    </row>
    <row r="61" spans="1:25" x14ac:dyDescent="0.2">
      <c r="A61" s="376"/>
      <c r="B61" s="367" t="s">
        <v>152</v>
      </c>
      <c r="C61" s="367"/>
      <c r="D61" s="376"/>
      <c r="E61" s="376"/>
      <c r="F61" s="372">
        <f>'F 3-4'!$P$22</f>
        <v>3.9299999999999995E-2</v>
      </c>
      <c r="G61" s="372"/>
      <c r="H61" s="372">
        <f t="shared" si="6"/>
        <v>8.6999999999999994E-3</v>
      </c>
      <c r="I61" s="372"/>
      <c r="J61" s="372">
        <f>+'F 3-4'!R50</f>
        <v>6.1399999999999996E-2</v>
      </c>
      <c r="K61" s="372"/>
      <c r="L61" s="372">
        <f t="shared" si="7"/>
        <v>4.7800000000000002E-2</v>
      </c>
      <c r="M61" s="372"/>
      <c r="N61" s="372">
        <f t="shared" si="5"/>
        <v>5.6500000000000002E-2</v>
      </c>
      <c r="O61" s="376"/>
      <c r="P61" s="376"/>
      <c r="R61" s="36"/>
      <c r="S61" s="484">
        <f>SUM(S55:S60)</f>
        <v>1</v>
      </c>
      <c r="T61" s="484">
        <f>SUM(T55:T60)</f>
        <v>0.22190000000000001</v>
      </c>
      <c r="U61" s="486">
        <f>SUM(U55:U60)</f>
        <v>1</v>
      </c>
      <c r="V61" s="484">
        <f>SUM(V55:V60)</f>
        <v>0.77810000000000001</v>
      </c>
      <c r="W61" s="484"/>
      <c r="X61" s="484"/>
      <c r="Y61" s="484">
        <f>SUM(Y55:Y60)</f>
        <v>1</v>
      </c>
    </row>
    <row r="62" spans="1:25" x14ac:dyDescent="0.2">
      <c r="A62" s="376"/>
      <c r="B62" s="367" t="s">
        <v>153</v>
      </c>
      <c r="C62" s="367"/>
      <c r="D62" s="376"/>
      <c r="E62" s="376"/>
      <c r="F62" s="372">
        <f>'F 3-4'!$P$23</f>
        <v>4.2099999999999999E-2</v>
      </c>
      <c r="G62" s="372"/>
      <c r="H62" s="372">
        <f t="shared" si="6"/>
        <v>9.2999999999999992E-3</v>
      </c>
      <c r="I62" s="372"/>
      <c r="J62" s="372">
        <f>+'F 3-4'!R51</f>
        <v>6.5600000000000006E-2</v>
      </c>
      <c r="K62" s="372"/>
      <c r="L62" s="372">
        <f t="shared" si="7"/>
        <v>5.0999999999999997E-2</v>
      </c>
      <c r="M62" s="372"/>
      <c r="N62" s="372">
        <f t="shared" si="5"/>
        <v>6.0299999999999992E-2</v>
      </c>
      <c r="O62" s="376"/>
      <c r="P62" s="376"/>
    </row>
    <row r="63" spans="1:25" x14ac:dyDescent="0.2">
      <c r="A63" s="376"/>
      <c r="B63" s="367"/>
      <c r="C63" s="367"/>
      <c r="D63" s="376"/>
      <c r="E63" s="376"/>
      <c r="F63" s="481"/>
      <c r="G63" s="372"/>
      <c r="H63" s="481"/>
      <c r="I63" s="372"/>
      <c r="J63" s="481"/>
      <c r="K63" s="372"/>
      <c r="L63" s="481"/>
      <c r="M63" s="372"/>
      <c r="N63" s="481"/>
      <c r="O63" s="376"/>
      <c r="P63" s="376"/>
    </row>
    <row r="64" spans="1:25" ht="15.75" thickBot="1" x14ac:dyDescent="0.25">
      <c r="A64" s="376"/>
      <c r="B64" s="367" t="s">
        <v>154</v>
      </c>
      <c r="C64" s="367"/>
      <c r="D64" s="376"/>
      <c r="E64" s="376"/>
      <c r="F64" s="372">
        <f>SUM(F56:F63)</f>
        <v>1</v>
      </c>
      <c r="G64" s="372"/>
      <c r="H64" s="372">
        <f>SUM(H56:H63)</f>
        <v>0.222</v>
      </c>
      <c r="I64" s="372"/>
      <c r="J64" s="483">
        <f>SUM(J56:J63)</f>
        <v>1</v>
      </c>
      <c r="K64" s="372"/>
      <c r="L64" s="372">
        <f>SUM(L56:L63)</f>
        <v>0.77799999999999991</v>
      </c>
      <c r="M64" s="372"/>
      <c r="N64" s="372">
        <f>SUM(N56:N63)</f>
        <v>1</v>
      </c>
      <c r="O64" s="376"/>
      <c r="P64" s="376"/>
    </row>
    <row r="65" spans="1:34" ht="15.75" thickTop="1" x14ac:dyDescent="0.2">
      <c r="A65" s="367"/>
      <c r="B65" s="367"/>
      <c r="C65" s="367"/>
      <c r="D65" s="376"/>
      <c r="E65" s="376"/>
      <c r="F65" s="374"/>
      <c r="G65" s="367"/>
      <c r="H65" s="374"/>
      <c r="I65" s="367"/>
      <c r="J65" s="375"/>
      <c r="K65" s="367"/>
      <c r="L65" s="374"/>
      <c r="M65" s="367"/>
      <c r="N65" s="374"/>
      <c r="O65" s="376"/>
      <c r="P65" s="376"/>
    </row>
    <row r="66" spans="1:34" x14ac:dyDescent="0.2">
      <c r="A66" s="367"/>
      <c r="B66" s="367"/>
      <c r="C66" s="367"/>
      <c r="D66" s="367"/>
      <c r="E66" s="367"/>
      <c r="F66" s="367"/>
      <c r="G66" s="367"/>
      <c r="H66" s="367"/>
      <c r="I66" s="367"/>
      <c r="J66" s="367"/>
      <c r="K66" s="367"/>
      <c r="L66" s="367"/>
      <c r="M66" s="367"/>
      <c r="N66" s="367"/>
      <c r="O66" s="367"/>
      <c r="P66" s="367"/>
    </row>
    <row r="67" spans="1:34" ht="29.85" customHeight="1" x14ac:dyDescent="0.2">
      <c r="A67" s="722" t="s">
        <v>250</v>
      </c>
      <c r="B67" s="722"/>
      <c r="C67" s="722"/>
      <c r="D67" s="722"/>
      <c r="E67" s="722"/>
      <c r="F67" s="722"/>
      <c r="G67" s="722"/>
      <c r="H67" s="722"/>
      <c r="I67" s="722"/>
      <c r="J67" s="722"/>
      <c r="K67" s="722"/>
      <c r="L67" s="722"/>
      <c r="M67" s="722"/>
      <c r="N67" s="722"/>
      <c r="O67" s="722"/>
      <c r="P67" s="722"/>
      <c r="V67" s="250"/>
      <c r="W67" s="250"/>
      <c r="X67" s="250"/>
      <c r="Y67" s="250"/>
      <c r="AC67" s="167"/>
    </row>
    <row r="68" spans="1:34" x14ac:dyDescent="0.2">
      <c r="A68" s="367"/>
      <c r="B68" s="367"/>
      <c r="C68" s="367"/>
      <c r="D68" s="367"/>
      <c r="E68" s="367"/>
      <c r="F68" s="367"/>
      <c r="G68" s="367"/>
      <c r="H68" s="367"/>
      <c r="I68" s="367"/>
      <c r="J68" s="367"/>
      <c r="K68" s="367"/>
      <c r="L68" s="367"/>
      <c r="M68" s="367"/>
      <c r="N68" s="367"/>
      <c r="O68" s="367"/>
      <c r="P68" s="367"/>
      <c r="S68" s="243"/>
      <c r="T68" s="243"/>
      <c r="U68" s="243"/>
      <c r="V68" s="251"/>
      <c r="W68" s="243"/>
      <c r="X68" s="243"/>
      <c r="Y68" s="243"/>
      <c r="AA68" s="35"/>
      <c r="AB68" s="240"/>
      <c r="AC68" s="53"/>
      <c r="AD68" s="53"/>
      <c r="AF68" s="243"/>
      <c r="AG68" s="243"/>
      <c r="AH68" s="243"/>
    </row>
    <row r="69" spans="1:34" x14ac:dyDescent="0.2">
      <c r="A69" s="367"/>
      <c r="B69" s="367"/>
      <c r="C69" s="367"/>
      <c r="D69" s="367"/>
      <c r="E69" s="367"/>
      <c r="F69" s="376"/>
      <c r="G69" s="369"/>
      <c r="H69" s="369" t="s">
        <v>251</v>
      </c>
      <c r="I69" s="369"/>
      <c r="J69" s="376"/>
      <c r="K69" s="369"/>
      <c r="L69" s="369"/>
      <c r="M69" s="369"/>
      <c r="N69" s="369"/>
      <c r="O69" s="367"/>
      <c r="P69" s="367"/>
      <c r="S69" s="243"/>
      <c r="T69" s="243"/>
      <c r="U69" s="243"/>
      <c r="V69" s="251"/>
      <c r="W69" s="243"/>
      <c r="X69" s="243"/>
      <c r="Y69" s="243"/>
      <c r="AA69" s="201"/>
      <c r="AB69" s="53"/>
      <c r="AC69" s="53"/>
      <c r="AD69" s="53"/>
      <c r="AF69" s="253"/>
      <c r="AG69" s="253"/>
      <c r="AH69" s="253"/>
    </row>
    <row r="70" spans="1:34" x14ac:dyDescent="0.2">
      <c r="A70" s="367"/>
      <c r="B70" s="367"/>
      <c r="C70" s="367"/>
      <c r="D70" s="367"/>
      <c r="E70" s="367"/>
      <c r="F70" s="376"/>
      <c r="G70" s="369"/>
      <c r="H70" s="369" t="s">
        <v>252</v>
      </c>
      <c r="I70" s="369"/>
      <c r="J70" s="376"/>
      <c r="K70" s="369"/>
      <c r="L70" s="369"/>
      <c r="M70" s="369"/>
      <c r="N70" s="369" t="s">
        <v>181</v>
      </c>
      <c r="O70" s="367"/>
      <c r="P70" s="367"/>
      <c r="S70" s="247"/>
      <c r="T70" s="247"/>
      <c r="U70" s="250"/>
      <c r="V70" s="251"/>
      <c r="W70" s="242"/>
      <c r="X70" s="242"/>
      <c r="Y70" s="242"/>
      <c r="AA70" s="201"/>
      <c r="AB70" s="168"/>
      <c r="AC70" s="168"/>
      <c r="AD70" s="168"/>
      <c r="AF70" s="253"/>
      <c r="AG70" s="253"/>
      <c r="AH70" s="253"/>
    </row>
    <row r="71" spans="1:34" x14ac:dyDescent="0.2">
      <c r="A71" s="367"/>
      <c r="B71" s="379"/>
      <c r="C71" s="367"/>
      <c r="D71" s="367"/>
      <c r="E71" s="367"/>
      <c r="F71" s="376"/>
      <c r="G71" s="367"/>
      <c r="H71" s="377"/>
      <c r="I71" s="367"/>
      <c r="J71" s="376"/>
      <c r="K71" s="367"/>
      <c r="L71" s="367"/>
      <c r="M71" s="367"/>
      <c r="N71" s="377"/>
      <c r="O71" s="367"/>
      <c r="P71" s="367"/>
      <c r="S71" s="247"/>
      <c r="T71" s="247"/>
      <c r="U71" s="250"/>
      <c r="V71" s="251"/>
      <c r="W71" s="242"/>
      <c r="X71" s="242"/>
      <c r="Y71" s="242"/>
      <c r="AA71" s="201"/>
      <c r="AB71" s="168"/>
      <c r="AC71" s="168"/>
      <c r="AD71" s="168"/>
      <c r="AF71" s="253"/>
      <c r="AG71" s="253"/>
      <c r="AH71" s="253"/>
    </row>
    <row r="72" spans="1:34" x14ac:dyDescent="0.2">
      <c r="A72" s="367" t="s">
        <v>253</v>
      </c>
      <c r="B72" s="376"/>
      <c r="C72" s="367"/>
      <c r="D72" s="367"/>
      <c r="E72" s="367"/>
      <c r="F72" s="376"/>
      <c r="G72" s="367"/>
      <c r="H72" s="378">
        <v>2388211</v>
      </c>
      <c r="I72" s="367"/>
      <c r="J72" s="376"/>
      <c r="K72" s="367"/>
      <c r="L72" s="367"/>
      <c r="M72" s="367"/>
      <c r="N72" s="372">
        <f>ROUND(H72/H76,4)</f>
        <v>0.222</v>
      </c>
      <c r="O72" s="367"/>
      <c r="P72" s="367"/>
      <c r="S72" s="247"/>
      <c r="T72" s="247"/>
      <c r="U72" s="250"/>
      <c r="V72" s="251"/>
      <c r="W72" s="242"/>
      <c r="X72" s="242"/>
      <c r="Y72" s="242"/>
      <c r="AA72" s="201"/>
      <c r="AB72" s="168"/>
      <c r="AC72" s="168"/>
      <c r="AD72" s="168"/>
      <c r="AF72" s="253"/>
      <c r="AG72" s="253"/>
      <c r="AH72" s="253"/>
    </row>
    <row r="73" spans="1:34" x14ac:dyDescent="0.2">
      <c r="A73" s="367"/>
      <c r="B73" s="376"/>
      <c r="C73" s="367"/>
      <c r="D73" s="367"/>
      <c r="E73" s="367"/>
      <c r="F73" s="376"/>
      <c r="G73" s="367"/>
      <c r="H73" s="378"/>
      <c r="I73" s="367"/>
      <c r="J73" s="376"/>
      <c r="K73" s="367"/>
      <c r="L73" s="367"/>
      <c r="M73" s="367"/>
      <c r="N73" s="372"/>
      <c r="O73" s="367"/>
      <c r="P73" s="367"/>
      <c r="S73" s="247"/>
      <c r="T73" s="247"/>
      <c r="U73" s="247"/>
      <c r="V73" s="251"/>
      <c r="W73" s="242"/>
      <c r="X73" s="242"/>
      <c r="Y73" s="242"/>
      <c r="AA73" s="201"/>
      <c r="AB73" s="168"/>
      <c r="AC73" s="168"/>
      <c r="AD73" s="168"/>
      <c r="AF73" s="253"/>
      <c r="AG73" s="253"/>
      <c r="AH73" s="253"/>
    </row>
    <row r="74" spans="1:34" x14ac:dyDescent="0.2">
      <c r="A74" s="367" t="s">
        <v>254</v>
      </c>
      <c r="B74" s="376"/>
      <c r="C74" s="367"/>
      <c r="D74" s="367"/>
      <c r="E74" s="367"/>
      <c r="F74" s="376"/>
      <c r="G74" s="367"/>
      <c r="H74" s="378">
        <v>8370144</v>
      </c>
      <c r="I74" s="367"/>
      <c r="J74" s="376"/>
      <c r="K74" s="367"/>
      <c r="L74" s="367"/>
      <c r="M74" s="367"/>
      <c r="N74" s="372">
        <f>ROUND(H74/H76,4)</f>
        <v>0.77800000000000002</v>
      </c>
      <c r="O74" s="367"/>
      <c r="P74" s="367"/>
      <c r="S74" s="247"/>
      <c r="T74" s="247"/>
      <c r="U74" s="247"/>
      <c r="V74" s="251"/>
      <c r="W74" s="242"/>
      <c r="X74" s="242"/>
      <c r="Y74" s="242"/>
      <c r="AA74" s="201"/>
      <c r="AB74" s="168"/>
      <c r="AC74" s="168"/>
      <c r="AD74" s="168"/>
      <c r="AF74" s="253"/>
      <c r="AG74" s="253"/>
      <c r="AH74" s="253"/>
    </row>
    <row r="75" spans="1:34" x14ac:dyDescent="0.2">
      <c r="A75" s="367"/>
      <c r="B75" s="367"/>
      <c r="C75" s="367"/>
      <c r="D75" s="367"/>
      <c r="E75" s="367"/>
      <c r="F75" s="376"/>
      <c r="G75" s="367"/>
      <c r="H75" s="480"/>
      <c r="I75" s="367"/>
      <c r="J75" s="376"/>
      <c r="K75" s="367"/>
      <c r="L75" s="367"/>
      <c r="M75" s="367"/>
      <c r="N75" s="481"/>
      <c r="O75" s="367"/>
      <c r="P75" s="367"/>
      <c r="S75" s="247"/>
      <c r="T75" s="247"/>
      <c r="U75" s="247"/>
      <c r="V75" s="251"/>
      <c r="W75" s="242"/>
      <c r="X75" s="242"/>
      <c r="Y75" s="242"/>
      <c r="AA75" s="201"/>
      <c r="AB75" s="168"/>
      <c r="AC75" s="168"/>
      <c r="AD75" s="168"/>
      <c r="AF75" s="253"/>
      <c r="AG75" s="253"/>
      <c r="AH75" s="253"/>
    </row>
    <row r="76" spans="1:34" ht="15.75" thickBot="1" x14ac:dyDescent="0.25">
      <c r="A76" s="367"/>
      <c r="B76" s="367" t="s">
        <v>249</v>
      </c>
      <c r="C76" s="367"/>
      <c r="D76" s="367"/>
      <c r="E76" s="367"/>
      <c r="F76" s="376"/>
      <c r="G76" s="367"/>
      <c r="H76" s="482">
        <f>SUM(H72:H75)</f>
        <v>10758355</v>
      </c>
      <c r="I76" s="367"/>
      <c r="J76" s="376"/>
      <c r="K76" s="367"/>
      <c r="L76" s="367"/>
      <c r="M76" s="367"/>
      <c r="N76" s="372">
        <f>SUM(N72:N75)</f>
        <v>1</v>
      </c>
      <c r="O76" s="367"/>
      <c r="P76" s="367"/>
      <c r="S76" s="247"/>
      <c r="T76" s="247"/>
      <c r="U76" s="247"/>
      <c r="V76" s="251"/>
      <c r="W76" s="242"/>
      <c r="X76" s="242"/>
      <c r="Y76" s="242"/>
      <c r="AA76" s="201"/>
      <c r="AB76" s="168"/>
      <c r="AC76" s="168"/>
      <c r="AD76" s="168"/>
      <c r="AF76" s="253"/>
      <c r="AG76" s="253"/>
      <c r="AH76" s="253"/>
    </row>
    <row r="77" spans="1:34" ht="15.75" thickTop="1" x14ac:dyDescent="0.2">
      <c r="A77" s="367"/>
      <c r="B77" s="367"/>
      <c r="C77" s="367"/>
      <c r="D77" s="367"/>
      <c r="E77" s="367"/>
      <c r="F77" s="367"/>
      <c r="G77" s="367"/>
      <c r="H77" s="375"/>
      <c r="I77" s="367"/>
      <c r="J77" s="367"/>
      <c r="K77" s="367"/>
      <c r="L77" s="367"/>
      <c r="M77" s="367"/>
      <c r="N77" s="374"/>
      <c r="O77" s="367"/>
      <c r="P77" s="367"/>
      <c r="S77" s="247"/>
      <c r="T77" s="247"/>
      <c r="U77" s="247"/>
      <c r="V77" s="251"/>
      <c r="W77" s="242"/>
      <c r="X77" s="242"/>
      <c r="Y77" s="242"/>
      <c r="AA77" s="201"/>
      <c r="AB77" s="168"/>
      <c r="AC77" s="168"/>
      <c r="AD77" s="168"/>
      <c r="AF77" s="253"/>
      <c r="AG77" s="253"/>
      <c r="AH77" s="253"/>
    </row>
    <row r="78" spans="1:34" x14ac:dyDescent="0.2">
      <c r="A78" s="35"/>
      <c r="B78" s="35"/>
      <c r="C78" s="35"/>
      <c r="D78" s="35"/>
      <c r="E78" s="35"/>
      <c r="F78" s="35"/>
      <c r="G78" s="35"/>
      <c r="H78" s="134"/>
      <c r="I78" s="35"/>
      <c r="J78" s="35"/>
      <c r="K78" s="35"/>
      <c r="L78" s="35"/>
      <c r="M78" s="35"/>
      <c r="N78" s="35"/>
      <c r="O78" s="35"/>
      <c r="P78" s="35"/>
      <c r="S78" s="247"/>
      <c r="T78" s="247"/>
      <c r="U78" s="247"/>
      <c r="V78" s="251"/>
      <c r="W78" s="242"/>
      <c r="X78" s="242"/>
      <c r="Y78" s="242"/>
      <c r="AA78" s="201"/>
      <c r="AB78" s="168"/>
      <c r="AC78" s="168"/>
      <c r="AD78" s="168"/>
      <c r="AF78" s="253"/>
      <c r="AG78" s="253"/>
      <c r="AH78" s="253"/>
    </row>
    <row r="79" spans="1:34" x14ac:dyDescent="0.2">
      <c r="S79" s="247"/>
      <c r="T79" s="247"/>
      <c r="U79" s="247"/>
      <c r="V79" s="243"/>
      <c r="W79" s="242"/>
      <c r="X79" s="242"/>
      <c r="Y79" s="242"/>
      <c r="AA79" s="53"/>
      <c r="AB79" s="168"/>
      <c r="AC79" s="168"/>
      <c r="AD79" s="168"/>
      <c r="AF79" s="253"/>
      <c r="AG79" s="253"/>
      <c r="AH79" s="253"/>
    </row>
    <row r="80" spans="1:34" x14ac:dyDescent="0.2">
      <c r="S80" s="247"/>
      <c r="T80" s="247"/>
      <c r="U80" s="247"/>
      <c r="V80" s="243"/>
      <c r="W80" s="242"/>
      <c r="X80" s="242"/>
      <c r="Y80" s="242"/>
      <c r="AA80" s="53"/>
      <c r="AB80" s="168"/>
      <c r="AC80" s="168"/>
      <c r="AD80" s="168"/>
      <c r="AF80" s="253"/>
      <c r="AG80" s="253"/>
      <c r="AH80" s="253"/>
    </row>
    <row r="81" spans="19:34" x14ac:dyDescent="0.2">
      <c r="S81" s="247"/>
      <c r="T81" s="247"/>
      <c r="U81" s="247"/>
      <c r="V81" s="243"/>
      <c r="W81" s="242"/>
      <c r="X81" s="242"/>
      <c r="Y81" s="242"/>
      <c r="AA81" s="53"/>
      <c r="AB81" s="168"/>
      <c r="AC81" s="168"/>
      <c r="AD81" s="168"/>
      <c r="AF81" s="253"/>
      <c r="AG81" s="253"/>
      <c r="AH81" s="253"/>
    </row>
    <row r="82" spans="19:34" x14ac:dyDescent="0.2">
      <c r="S82" s="247"/>
      <c r="T82" s="247"/>
      <c r="U82" s="247"/>
      <c r="V82" s="243"/>
      <c r="W82" s="242"/>
      <c r="X82" s="242"/>
      <c r="Y82" s="242"/>
      <c r="AA82" s="53"/>
      <c r="AB82" s="168"/>
      <c r="AC82" s="168"/>
      <c r="AD82" s="168"/>
      <c r="AF82" s="253"/>
      <c r="AG82" s="253"/>
      <c r="AH82" s="253"/>
    </row>
    <row r="83" spans="19:34" x14ac:dyDescent="0.2">
      <c r="S83" s="247"/>
      <c r="T83" s="247"/>
      <c r="U83" s="247"/>
      <c r="V83" s="243"/>
      <c r="W83" s="242"/>
      <c r="X83" s="242"/>
      <c r="Y83" s="242"/>
      <c r="AA83" s="53"/>
      <c r="AB83" s="168"/>
      <c r="AC83" s="168"/>
      <c r="AD83" s="168"/>
      <c r="AF83" s="253"/>
      <c r="AG83" s="253"/>
      <c r="AH83" s="253"/>
    </row>
    <row r="84" spans="19:34" x14ac:dyDescent="0.2">
      <c r="S84" s="247"/>
      <c r="T84" s="247"/>
      <c r="U84" s="247"/>
      <c r="V84" s="243"/>
      <c r="W84" s="242"/>
      <c r="X84" s="242"/>
      <c r="Y84" s="242"/>
      <c r="AA84" s="53"/>
      <c r="AB84" s="168"/>
      <c r="AC84" s="168"/>
      <c r="AD84" s="168"/>
      <c r="AF84" s="253"/>
      <c r="AG84" s="253"/>
      <c r="AH84" s="253"/>
    </row>
    <row r="85" spans="19:34" x14ac:dyDescent="0.2">
      <c r="S85" s="247"/>
      <c r="T85" s="247"/>
      <c r="U85" s="247"/>
      <c r="V85" s="243"/>
      <c r="W85" s="242"/>
      <c r="X85" s="242"/>
      <c r="Y85" s="242"/>
      <c r="AA85" s="53"/>
      <c r="AB85" s="168"/>
      <c r="AC85" s="168"/>
      <c r="AD85" s="168"/>
      <c r="AF85" s="253"/>
      <c r="AG85" s="253"/>
      <c r="AH85" s="253"/>
    </row>
    <row r="86" spans="19:34" x14ac:dyDescent="0.2">
      <c r="S86" s="247"/>
      <c r="T86" s="247"/>
      <c r="U86" s="247"/>
      <c r="V86" s="243"/>
      <c r="W86" s="242"/>
      <c r="X86" s="242"/>
      <c r="Y86" s="242"/>
      <c r="AA86" s="53"/>
      <c r="AB86" s="168"/>
      <c r="AC86" s="168"/>
      <c r="AD86" s="168"/>
      <c r="AF86" s="253"/>
      <c r="AG86" s="253"/>
      <c r="AH86" s="253"/>
    </row>
    <row r="87" spans="19:34" x14ac:dyDescent="0.2">
      <c r="S87" s="247"/>
      <c r="T87" s="247"/>
      <c r="U87" s="247"/>
      <c r="V87" s="243"/>
      <c r="W87" s="242"/>
      <c r="X87" s="242"/>
      <c r="Y87" s="242"/>
      <c r="AA87" s="53"/>
      <c r="AB87" s="168"/>
      <c r="AC87" s="168"/>
      <c r="AD87" s="168"/>
      <c r="AF87" s="253"/>
      <c r="AG87" s="253"/>
      <c r="AH87" s="253"/>
    </row>
    <row r="88" spans="19:34" x14ac:dyDescent="0.2">
      <c r="S88" s="247"/>
      <c r="T88" s="247"/>
      <c r="U88" s="247"/>
      <c r="V88" s="243"/>
      <c r="W88" s="242"/>
      <c r="X88" s="242"/>
      <c r="Y88" s="242"/>
      <c r="AA88" s="53"/>
      <c r="AB88" s="168"/>
      <c r="AC88" s="168"/>
      <c r="AD88" s="168"/>
      <c r="AF88" s="253"/>
      <c r="AG88" s="253"/>
      <c r="AH88" s="253"/>
    </row>
    <row r="89" spans="19:34" x14ac:dyDescent="0.2">
      <c r="S89" s="247"/>
      <c r="T89" s="247"/>
      <c r="U89" s="247"/>
      <c r="V89" s="243"/>
      <c r="W89" s="242"/>
      <c r="X89" s="242"/>
      <c r="Y89" s="242"/>
      <c r="AA89" s="53"/>
      <c r="AB89" s="168"/>
      <c r="AC89" s="168"/>
      <c r="AD89" s="168"/>
      <c r="AF89" s="253"/>
      <c r="AG89" s="253"/>
      <c r="AH89" s="253"/>
    </row>
    <row r="90" spans="19:34" x14ac:dyDescent="0.2">
      <c r="S90" s="247"/>
      <c r="T90" s="247"/>
      <c r="U90" s="247"/>
      <c r="V90" s="243"/>
      <c r="W90" s="242"/>
      <c r="X90" s="242"/>
      <c r="Y90" s="242"/>
      <c r="AA90" s="53"/>
      <c r="AB90" s="168"/>
      <c r="AC90" s="168"/>
      <c r="AD90" s="168"/>
      <c r="AF90" s="253"/>
      <c r="AG90" s="253"/>
      <c r="AH90" s="253"/>
    </row>
    <row r="91" spans="19:34" x14ac:dyDescent="0.2">
      <c r="S91" s="247"/>
      <c r="T91" s="247"/>
      <c r="U91" s="247"/>
      <c r="V91" s="243"/>
      <c r="W91" s="242"/>
      <c r="X91" s="242"/>
      <c r="Y91" s="242"/>
      <c r="AA91" s="53"/>
      <c r="AB91" s="168"/>
      <c r="AC91" s="168"/>
      <c r="AD91" s="168"/>
      <c r="AF91" s="253"/>
      <c r="AG91" s="253"/>
      <c r="AH91" s="253"/>
    </row>
    <row r="92" spans="19:34" x14ac:dyDescent="0.2">
      <c r="S92" s="247"/>
      <c r="T92" s="247"/>
      <c r="U92" s="247"/>
      <c r="V92" s="243"/>
      <c r="W92" s="242"/>
      <c r="X92" s="242"/>
      <c r="Y92" s="242"/>
      <c r="AA92" s="53"/>
      <c r="AB92" s="168"/>
      <c r="AC92" s="168"/>
      <c r="AD92" s="168"/>
      <c r="AF92" s="253"/>
      <c r="AG92" s="253"/>
      <c r="AH92" s="253"/>
    </row>
    <row r="93" spans="19:34" x14ac:dyDescent="0.2">
      <c r="S93" s="247"/>
      <c r="T93" s="247"/>
      <c r="U93" s="247"/>
      <c r="V93" s="243"/>
      <c r="W93" s="242"/>
      <c r="X93" s="242"/>
      <c r="Y93" s="242"/>
      <c r="AA93" s="53"/>
      <c r="AB93" s="168"/>
      <c r="AC93" s="168"/>
      <c r="AD93" s="168"/>
      <c r="AF93" s="253"/>
      <c r="AG93" s="253"/>
      <c r="AH93" s="253"/>
    </row>
    <row r="94" spans="19:34" x14ac:dyDescent="0.2">
      <c r="S94" s="247"/>
      <c r="T94" s="247"/>
      <c r="U94" s="247"/>
      <c r="V94" s="243"/>
      <c r="W94" s="242"/>
      <c r="X94" s="242"/>
      <c r="Y94" s="242"/>
      <c r="AA94" s="53"/>
      <c r="AB94" s="168"/>
      <c r="AC94" s="168"/>
      <c r="AD94" s="168"/>
      <c r="AF94" s="253"/>
      <c r="AG94" s="253"/>
      <c r="AH94" s="253"/>
    </row>
    <row r="95" spans="19:34" x14ac:dyDescent="0.2">
      <c r="S95" s="247"/>
      <c r="T95" s="247"/>
      <c r="U95" s="247"/>
      <c r="V95" s="243"/>
      <c r="W95" s="242"/>
      <c r="X95" s="242"/>
      <c r="Y95" s="242"/>
      <c r="AA95" s="53"/>
      <c r="AB95" s="168"/>
      <c r="AC95" s="168"/>
      <c r="AD95" s="168"/>
      <c r="AF95" s="253"/>
      <c r="AG95" s="253"/>
      <c r="AH95" s="253"/>
    </row>
    <row r="96" spans="19:34" x14ac:dyDescent="0.2">
      <c r="S96" s="247"/>
      <c r="T96" s="247"/>
      <c r="U96" s="247"/>
      <c r="V96" s="243"/>
      <c r="W96" s="242"/>
      <c r="X96" s="242"/>
      <c r="Y96" s="242"/>
      <c r="AA96" s="53"/>
      <c r="AB96" s="168"/>
      <c r="AC96" s="168"/>
      <c r="AD96" s="168"/>
    </row>
    <row r="97" spans="19:30" x14ac:dyDescent="0.2">
      <c r="S97" s="247"/>
      <c r="T97" s="247"/>
      <c r="U97" s="247"/>
      <c r="V97" s="243"/>
      <c r="W97" s="242"/>
      <c r="X97" s="242"/>
      <c r="Y97" s="242"/>
      <c r="AA97" s="53"/>
      <c r="AB97" s="168"/>
      <c r="AC97" s="168"/>
      <c r="AD97" s="168"/>
    </row>
    <row r="98" spans="19:30" x14ac:dyDescent="0.2">
      <c r="S98" s="247"/>
      <c r="T98" s="247"/>
      <c r="U98" s="247"/>
      <c r="V98" s="243"/>
      <c r="W98" s="242"/>
      <c r="X98" s="242"/>
      <c r="Y98" s="242"/>
      <c r="AA98" s="53"/>
      <c r="AB98" s="168"/>
      <c r="AC98" s="168"/>
      <c r="AD98" s="168"/>
    </row>
    <row r="99" spans="19:30" x14ac:dyDescent="0.2">
      <c r="S99" s="247"/>
      <c r="T99" s="247"/>
      <c r="U99" s="247"/>
      <c r="V99" s="252"/>
      <c r="W99" s="242"/>
      <c r="X99" s="242"/>
      <c r="Y99" s="242"/>
      <c r="AA99" s="226"/>
      <c r="AB99" s="168"/>
      <c r="AC99" s="168"/>
      <c r="AD99" s="168"/>
    </row>
    <row r="100" spans="19:30" x14ac:dyDescent="0.2">
      <c r="S100" s="247"/>
      <c r="T100" s="247"/>
      <c r="U100" s="247"/>
      <c r="V100" s="243"/>
      <c r="W100" s="242"/>
      <c r="X100" s="242"/>
      <c r="Y100" s="242"/>
      <c r="AA100" s="53"/>
      <c r="AB100" s="168"/>
      <c r="AC100" s="168"/>
      <c r="AD100" s="168"/>
    </row>
    <row r="101" spans="19:30" x14ac:dyDescent="0.2">
      <c r="S101" s="247"/>
      <c r="T101" s="247"/>
      <c r="U101" s="247"/>
      <c r="V101" s="243"/>
      <c r="W101" s="242"/>
      <c r="X101" s="242"/>
      <c r="Y101" s="242"/>
      <c r="AA101" s="53"/>
      <c r="AB101" s="168"/>
      <c r="AC101" s="168"/>
      <c r="AD101" s="168"/>
    </row>
    <row r="102" spans="19:30" x14ac:dyDescent="0.2">
      <c r="S102" s="247"/>
      <c r="T102" s="247"/>
      <c r="U102" s="247"/>
      <c r="V102" s="243"/>
      <c r="W102" s="242"/>
      <c r="X102" s="242"/>
      <c r="Y102" s="242"/>
      <c r="AA102" s="53"/>
      <c r="AB102" s="168"/>
      <c r="AC102" s="168"/>
      <c r="AD102" s="168"/>
    </row>
    <row r="103" spans="19:30" x14ac:dyDescent="0.2">
      <c r="V103" s="243"/>
      <c r="W103" s="242"/>
      <c r="X103" s="242"/>
      <c r="Y103" s="242"/>
      <c r="AA103" s="53"/>
      <c r="AB103" s="168"/>
      <c r="AC103" s="168"/>
      <c r="AD103" s="168"/>
    </row>
    <row r="104" spans="19:30" x14ac:dyDescent="0.2">
      <c r="V104" s="243"/>
      <c r="W104" s="242"/>
      <c r="X104" s="242"/>
      <c r="Y104" s="242"/>
      <c r="AA104" s="53"/>
      <c r="AB104" s="168"/>
      <c r="AC104" s="168"/>
      <c r="AD104" s="168"/>
    </row>
    <row r="105" spans="19:30" x14ac:dyDescent="0.2">
      <c r="V105" s="243"/>
      <c r="W105" s="242"/>
      <c r="X105" s="242"/>
      <c r="Y105" s="242"/>
      <c r="AA105" s="53"/>
      <c r="AB105" s="168"/>
      <c r="AC105" s="168"/>
      <c r="AD105" s="168"/>
    </row>
    <row r="106" spans="19:30" x14ac:dyDescent="0.2">
      <c r="V106" s="243"/>
      <c r="W106" s="242"/>
      <c r="X106" s="242"/>
      <c r="Y106" s="242"/>
      <c r="AA106" s="53"/>
      <c r="AB106" s="168"/>
      <c r="AC106" s="168"/>
      <c r="AD106" s="168"/>
    </row>
    <row r="107" spans="19:30" x14ac:dyDescent="0.2">
      <c r="V107" s="243"/>
      <c r="W107" s="242"/>
      <c r="X107" s="242"/>
      <c r="Y107" s="242"/>
      <c r="AA107" s="53"/>
      <c r="AB107" s="168"/>
      <c r="AC107" s="168"/>
      <c r="AD107" s="168"/>
    </row>
    <row r="108" spans="19:30" x14ac:dyDescent="0.2">
      <c r="V108" s="243"/>
      <c r="W108" s="242"/>
      <c r="X108" s="242"/>
      <c r="Y108" s="242"/>
      <c r="AA108" s="53"/>
      <c r="AB108" s="168"/>
      <c r="AC108" s="168"/>
      <c r="AD108" s="168"/>
    </row>
    <row r="109" spans="19:30" x14ac:dyDescent="0.2">
      <c r="V109" s="243"/>
      <c r="W109" s="242"/>
      <c r="X109" s="242"/>
      <c r="Y109" s="242"/>
      <c r="AA109" s="53"/>
      <c r="AB109" s="168"/>
      <c r="AC109" s="168"/>
      <c r="AD109" s="168"/>
    </row>
    <row r="110" spans="19:30" x14ac:dyDescent="0.2">
      <c r="V110" s="243"/>
      <c r="W110" s="242"/>
      <c r="X110" s="242"/>
      <c r="Y110" s="242"/>
      <c r="AA110" s="53"/>
      <c r="AB110" s="168"/>
      <c r="AC110" s="168"/>
      <c r="AD110" s="168"/>
    </row>
    <row r="111" spans="19:30" x14ac:dyDescent="0.2">
      <c r="V111" s="243"/>
      <c r="W111" s="242"/>
      <c r="X111" s="242"/>
      <c r="Y111" s="242"/>
      <c r="AA111" s="53"/>
      <c r="AB111" s="168"/>
      <c r="AC111" s="168"/>
      <c r="AD111" s="168"/>
    </row>
    <row r="112" spans="19:30" x14ac:dyDescent="0.2">
      <c r="V112" s="243"/>
      <c r="W112" s="243"/>
      <c r="X112" s="243"/>
      <c r="Y112" s="243"/>
    </row>
    <row r="113" spans="22:25" x14ac:dyDescent="0.2">
      <c r="V113" s="243"/>
      <c r="W113" s="243"/>
      <c r="X113" s="243"/>
      <c r="Y113" s="245"/>
    </row>
    <row r="114" spans="22:25" x14ac:dyDescent="0.2">
      <c r="V114" s="243"/>
      <c r="W114" s="243"/>
      <c r="X114" s="243"/>
      <c r="Y114" s="243"/>
    </row>
    <row r="115" spans="22:25" x14ac:dyDescent="0.2">
      <c r="V115" s="243"/>
      <c r="W115" s="243"/>
      <c r="X115" s="243"/>
      <c r="Y115" s="242"/>
    </row>
    <row r="116" spans="22:25" x14ac:dyDescent="0.2">
      <c r="V116" s="243"/>
      <c r="W116" s="243"/>
      <c r="X116" s="243"/>
      <c r="Y116" s="245"/>
    </row>
  </sheetData>
  <mergeCells count="4">
    <mergeCell ref="A7:P7"/>
    <mergeCell ref="A27:P27"/>
    <mergeCell ref="A47:P47"/>
    <mergeCell ref="A67:P67"/>
  </mergeCells>
  <phoneticPr fontId="13" type="noConversion"/>
  <printOptions horizontalCentered="1"/>
  <pageMargins left="1" right="0.75" top="1" bottom="0.5" header="0.5" footer="0.5"/>
  <pageSetup scale="90" fitToHeight="0" orientation="portrait" r:id="rId1"/>
  <headerFooter alignWithMargins="0"/>
  <rowBreaks count="1" manualBreakCount="1">
    <brk id="4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SCH-A</vt:lpstr>
      <vt:lpstr>Sch B COS</vt:lpstr>
      <vt:lpstr>F 1-2</vt:lpstr>
      <vt:lpstr>F 2 B</vt:lpstr>
      <vt:lpstr>F 3-4</vt:lpstr>
      <vt:lpstr>F 3B 4B</vt:lpstr>
      <vt:lpstr>F 5</vt:lpstr>
      <vt:lpstr>F 5B</vt:lpstr>
      <vt:lpstr>F6-7</vt:lpstr>
      <vt:lpstr>F8-10</vt:lpstr>
      <vt:lpstr>Meters &amp; Services</vt:lpstr>
      <vt:lpstr>F11-12</vt:lpstr>
      <vt:lpstr>F13-14</vt:lpstr>
      <vt:lpstr>F 15-20</vt:lpstr>
      <vt:lpstr>SCH-D</vt:lpstr>
      <vt:lpstr>Sch E Fire</vt:lpstr>
      <vt:lpstr>Sch F Service Charges</vt:lpstr>
      <vt:lpstr>Sch G Rates</vt:lpstr>
      <vt:lpstr>'F 3-4'!FACT3</vt:lpstr>
      <vt:lpstr>'F 1-2'!FACT3A</vt:lpstr>
      <vt:lpstr>'F 2 B'!FACT3A</vt:lpstr>
      <vt:lpstr>'F 3-4'!FACT3A</vt:lpstr>
      <vt:lpstr>factor</vt:lpstr>
      <vt:lpstr>Factors</vt:lpstr>
      <vt:lpstr>'F 1-2'!FIRE</vt:lpstr>
      <vt:lpstr>'F 2 B'!FIRE</vt:lpstr>
      <vt:lpstr>'F 3-4'!FIRE</vt:lpstr>
      <vt:lpstr>func</vt:lpstr>
      <vt:lpstr>'F 1-2'!Print_Area</vt:lpstr>
      <vt:lpstr>'F 15-20'!Print_Area</vt:lpstr>
      <vt:lpstr>'F 2 B'!Print_Area</vt:lpstr>
      <vt:lpstr>'F 3-4'!Print_Area</vt:lpstr>
      <vt:lpstr>'F 3B 4B'!Print_Area</vt:lpstr>
      <vt:lpstr>'F 5'!Print_Area</vt:lpstr>
      <vt:lpstr>'F 5B'!Print_Area</vt:lpstr>
      <vt:lpstr>'F6-7'!Print_Area</vt:lpstr>
      <vt:lpstr>'F8-10'!Print_Area</vt:lpstr>
      <vt:lpstr>'Meters &amp; Services'!Print_Area</vt:lpstr>
      <vt:lpstr>'Sch B COS'!Print_Area</vt:lpstr>
      <vt:lpstr>'Sch E Fire'!Print_Area</vt:lpstr>
      <vt:lpstr>'Sch F Service Charges'!Print_Area</vt:lpstr>
      <vt:lpstr>'Sch G Rates'!Print_Area</vt:lpstr>
      <vt:lpstr>'SCH-A'!Print_Area</vt:lpstr>
      <vt:lpstr>'SCH-D'!Print_Area</vt:lpstr>
      <vt:lpstr>'Sch B COS'!Print_Titles</vt:lpstr>
      <vt:lpstr>'Sch G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Heppenstall, Constance E.</dc:creator>
  <cp:lastModifiedBy>Heppenstall, Constance E.</cp:lastModifiedBy>
  <cp:lastPrinted>2019-01-17T14:12:09Z</cp:lastPrinted>
  <dcterms:created xsi:type="dcterms:W3CDTF">2000-03-27T20:18:41Z</dcterms:created>
  <dcterms:modified xsi:type="dcterms:W3CDTF">2019-01-17T14:31:38Z</dcterms:modified>
</cp:coreProperties>
</file>