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Discovery\PSC\Attachment\"/>
    </mc:Choice>
  </mc:AlternateContent>
  <bookViews>
    <workbookView xWindow="120" yWindow="315" windowWidth="15480" windowHeight="7320" tabRatio="755" activeTab="2"/>
  </bookViews>
  <sheets>
    <sheet name="Link In" sheetId="3" r:id="rId1"/>
    <sheet name="Link Out" sheetId="8" r:id="rId2"/>
    <sheet name="Exhibit" sheetId="2" r:id="rId3"/>
    <sheet name="Operating Revenues" sheetId="4" r:id="rId4"/>
    <sheet name="Other Revenues" sheetId="10" r:id="rId5"/>
    <sheet name="Proposed Rates" sheetId="7" r:id="rId6"/>
    <sheet name="Prop Rates Other Revenues" sheetId="11" r:id="rId7"/>
    <sheet name="Notes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Exhibit!$A$1:$H$45</definedName>
    <definedName name="_xlnm.Print_Area" localSheetId="0">'Link In'!$A$1:$L$18</definedName>
    <definedName name="_xlnm.Print_Area" localSheetId="7">Notes!$B$1:$B$6</definedName>
    <definedName name="_xlnm.Print_Area" localSheetId="3">'Operating Revenues'!$A$1:$H$35</definedName>
    <definedName name="_xlnm.Print_Area" localSheetId="4">'Other Revenues'!$A$1:$I$35</definedName>
    <definedName name="_xlnm.Print_Area" localSheetId="6">'Prop Rates Other Revenues'!$A$1:$I$35</definedName>
    <definedName name="_xlnm.Print_Area" localSheetId="5">'Proposed Rates'!$A$1:$H$35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B28" i="3"/>
  <c r="B27" i="3"/>
  <c r="B26" i="3"/>
  <c r="B2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A55" i="3"/>
  <c r="A3" i="3"/>
  <c r="A2" i="3"/>
  <c r="A1" i="3"/>
  <c r="H10" i="2" l="1"/>
  <c r="B18" i="3" l="1"/>
  <c r="H18" i="4"/>
  <c r="D30" i="2" l="1"/>
  <c r="R30" i="2" l="1"/>
  <c r="W22" i="2"/>
  <c r="W21" i="2"/>
  <c r="W20" i="2"/>
  <c r="W19" i="2"/>
  <c r="W18" i="2"/>
  <c r="W17" i="2"/>
  <c r="X17" i="2" s="1"/>
  <c r="R24" i="2"/>
  <c r="E30" i="4" l="1"/>
  <c r="G25" i="8" s="1"/>
  <c r="C18" i="3"/>
  <c r="B36" i="3"/>
  <c r="D14" i="2"/>
  <c r="F30" i="4" l="1"/>
  <c r="G34" i="8" s="1"/>
  <c r="D30" i="4"/>
  <c r="G27" i="8" s="1"/>
  <c r="A9" i="7" l="1"/>
  <c r="A9" i="2" l="1"/>
  <c r="A9" i="10"/>
  <c r="A9" i="11"/>
  <c r="A9" i="4"/>
  <c r="H10" i="4"/>
  <c r="H10" i="7" s="1"/>
  <c r="H9" i="4"/>
  <c r="H9" i="7" s="1"/>
  <c r="A100" i="8" l="1"/>
  <c r="E100" i="8" s="1"/>
  <c r="A101" i="8" l="1"/>
  <c r="E78" i="8"/>
  <c r="G78" i="8"/>
  <c r="F78" i="8"/>
  <c r="F79" i="8"/>
  <c r="D78" i="8"/>
  <c r="A93" i="8"/>
  <c r="C78" i="8"/>
  <c r="C79" i="8"/>
  <c r="A89" i="8"/>
  <c r="A90" i="8"/>
  <c r="A78" i="8"/>
  <c r="A79" i="8"/>
  <c r="A80" i="8"/>
  <c r="A81" i="8"/>
  <c r="A82" i="8"/>
  <c r="A83" i="8"/>
  <c r="A84" i="8"/>
  <c r="A85" i="8"/>
  <c r="A86" i="8"/>
  <c r="A87" i="8"/>
  <c r="A88" i="8"/>
  <c r="A66" i="8"/>
  <c r="A67" i="8"/>
  <c r="A68" i="8"/>
  <c r="A69" i="8"/>
  <c r="A70" i="8"/>
  <c r="A71" i="8"/>
  <c r="A72" i="8"/>
  <c r="A73" i="8"/>
  <c r="A74" i="8"/>
  <c r="A75" i="8"/>
  <c r="A65" i="8"/>
  <c r="A10" i="7" l="1"/>
  <c r="D23" i="2" l="1"/>
  <c r="D22" i="2"/>
  <c r="A48" i="8"/>
  <c r="A50" i="8"/>
  <c r="C71" i="8" l="1"/>
  <c r="C72" i="8"/>
  <c r="D40" i="2" l="1"/>
  <c r="D39" i="2"/>
  <c r="D38" i="2"/>
  <c r="D36" i="2"/>
  <c r="D35" i="2"/>
  <c r="D34" i="2"/>
  <c r="D33" i="2"/>
  <c r="D32" i="2"/>
  <c r="D31" i="2"/>
  <c r="D25" i="2"/>
  <c r="D24" i="2"/>
  <c r="D21" i="2"/>
  <c r="D20" i="2"/>
  <c r="D19" i="2"/>
  <c r="D18" i="2"/>
  <c r="D17" i="2"/>
  <c r="D17" i="4"/>
  <c r="D37" i="2"/>
  <c r="G19" i="8" l="1"/>
  <c r="C88" i="8"/>
  <c r="C84" i="8"/>
  <c r="C70" i="8"/>
  <c r="C69" i="8"/>
  <c r="C83" i="8"/>
  <c r="C87" i="8"/>
  <c r="C66" i="8"/>
  <c r="C80" i="8"/>
  <c r="C68" i="8"/>
  <c r="C74" i="8"/>
  <c r="C82" i="8"/>
  <c r="C86" i="8"/>
  <c r="C85" i="8"/>
  <c r="C67" i="8"/>
  <c r="C73" i="8"/>
  <c r="C81" i="8"/>
  <c r="C89" i="8"/>
  <c r="H31" i="4"/>
  <c r="G31" i="8"/>
  <c r="E17" i="4"/>
  <c r="H17" i="4"/>
  <c r="G32" i="8" s="1"/>
  <c r="F17" i="4"/>
  <c r="G23" i="8" s="1"/>
  <c r="G17" i="4"/>
  <c r="G29" i="8" s="1"/>
  <c r="H30" i="4" l="1"/>
  <c r="G21" i="8"/>
  <c r="A51" i="8" l="1"/>
  <c r="A52" i="8"/>
  <c r="A53" i="8"/>
  <c r="A54" i="8"/>
  <c r="A55" i="8"/>
  <c r="A56" i="8"/>
  <c r="A57" i="8"/>
  <c r="A58" i="8"/>
  <c r="A59" i="8"/>
  <c r="A60" i="8"/>
  <c r="H34" i="11" l="1"/>
  <c r="G34" i="11"/>
  <c r="E34" i="11"/>
  <c r="I21" i="11"/>
  <c r="H21" i="11"/>
  <c r="G21" i="11"/>
  <c r="F21" i="11"/>
  <c r="E21" i="11"/>
  <c r="D21" i="11"/>
  <c r="I10" i="11"/>
  <c r="I10" i="10" l="1"/>
  <c r="A5" i="10" l="1"/>
  <c r="A5" i="11"/>
  <c r="A4" i="10"/>
  <c r="A4" i="11"/>
  <c r="D41" i="2" l="1"/>
  <c r="C90" i="8" l="1"/>
  <c r="A10" i="4" l="1"/>
  <c r="A10" i="11"/>
  <c r="A10" i="10"/>
  <c r="A10" i="2"/>
  <c r="D26" i="2" l="1"/>
  <c r="A5" i="2"/>
  <c r="A5" i="7"/>
  <c r="A5" i="4"/>
  <c r="A4" i="2"/>
  <c r="A4" i="7"/>
  <c r="A4" i="4"/>
  <c r="D44" i="2" l="1"/>
  <c r="C75" i="8"/>
  <c r="X24" i="2"/>
  <c r="C93" i="8" l="1"/>
  <c r="I9" i="11" l="1"/>
  <c r="I9" i="10"/>
  <c r="X22" i="2" l="1"/>
  <c r="X20" i="2" l="1"/>
  <c r="X21" i="2" l="1"/>
  <c r="X19" i="2"/>
  <c r="X18" i="2"/>
  <c r="F25" i="2" l="1"/>
  <c r="Q24" i="2" s="1"/>
  <c r="G29" i="4" l="1"/>
  <c r="E25" i="2"/>
  <c r="S24" i="2"/>
  <c r="E74" i="8"/>
  <c r="G34" i="4" l="1"/>
  <c r="G35" i="8"/>
  <c r="G45" i="4"/>
  <c r="D74" i="8"/>
  <c r="G47" i="4" l="1"/>
  <c r="H25" i="2" l="1"/>
  <c r="G25" i="2" l="1"/>
  <c r="V24" i="2"/>
  <c r="Y24" i="2" s="1"/>
  <c r="G74" i="8"/>
  <c r="G29" i="7" l="1"/>
  <c r="F74" i="8"/>
  <c r="G34" i="7" l="1"/>
  <c r="A54" i="3" l="1"/>
  <c r="C17" i="2" s="1"/>
  <c r="C16" i="10" l="1"/>
  <c r="C29" i="10" s="1"/>
  <c r="C16" i="7"/>
  <c r="C18" i="2"/>
  <c r="C19" i="2" s="1"/>
  <c r="C20" i="2" s="1"/>
  <c r="C21" i="2" s="1"/>
  <c r="C22" i="2" s="1"/>
  <c r="C23" i="2" s="1"/>
  <c r="C24" i="2" s="1"/>
  <c r="C25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16" i="4"/>
  <c r="C29" i="4" s="1"/>
  <c r="C29" i="7" l="1"/>
  <c r="C16" i="11"/>
  <c r="C29" i="11" s="1"/>
  <c r="C33" i="3" l="1"/>
  <c r="F39" i="2" s="1"/>
  <c r="R39" i="2"/>
  <c r="C31" i="3" l="1"/>
  <c r="F37" i="2" s="1"/>
  <c r="R37" i="2"/>
  <c r="Q39" i="2"/>
  <c r="S39" i="2" s="1"/>
  <c r="E39" i="2"/>
  <c r="E88" i="8"/>
  <c r="D88" i="8" l="1"/>
  <c r="G29" i="10"/>
  <c r="G34" i="10" s="1"/>
  <c r="G58" i="8"/>
  <c r="Q37" i="2"/>
  <c r="S37" i="2" s="1"/>
  <c r="E37" i="2"/>
  <c r="E86" i="8"/>
  <c r="E29" i="10" l="1"/>
  <c r="E34" i="10" s="1"/>
  <c r="D86" i="8"/>
  <c r="G56" i="8"/>
  <c r="D31" i="3"/>
  <c r="G37" i="2" s="1"/>
  <c r="F86" i="8" l="1"/>
  <c r="H37" i="2"/>
  <c r="G86" i="8" s="1"/>
  <c r="C34" i="3" l="1"/>
  <c r="F40" i="2" s="1"/>
  <c r="C28" i="3" l="1"/>
  <c r="F34" i="2" s="1"/>
  <c r="C27" i="3"/>
  <c r="F33" i="2" s="1"/>
  <c r="R33" i="2"/>
  <c r="C29" i="3"/>
  <c r="F35" i="2" s="1"/>
  <c r="R40" i="2"/>
  <c r="C26" i="3"/>
  <c r="F32" i="2" s="1"/>
  <c r="R32" i="2"/>
  <c r="C24" i="3"/>
  <c r="E89" i="8"/>
  <c r="E40" i="2"/>
  <c r="Q40" i="2"/>
  <c r="D34" i="3"/>
  <c r="G40" i="2" s="1"/>
  <c r="F89" i="8" s="1"/>
  <c r="F30" i="2" l="1"/>
  <c r="S40" i="2"/>
  <c r="C30" i="3"/>
  <c r="F36" i="2" s="1"/>
  <c r="R36" i="2"/>
  <c r="D89" i="8"/>
  <c r="H29" i="10"/>
  <c r="H34" i="10" s="1"/>
  <c r="G59" i="8"/>
  <c r="E33" i="2"/>
  <c r="E82" i="8"/>
  <c r="Q33" i="2"/>
  <c r="S33" i="2" s="1"/>
  <c r="Q32" i="2"/>
  <c r="S32" i="2" s="1"/>
  <c r="E81" i="8"/>
  <c r="E32" i="2"/>
  <c r="R35" i="2"/>
  <c r="R34" i="2"/>
  <c r="H40" i="2"/>
  <c r="G89" i="8" s="1"/>
  <c r="Q35" i="2"/>
  <c r="E35" i="2"/>
  <c r="E84" i="8"/>
  <c r="Q34" i="2"/>
  <c r="E83" i="8"/>
  <c r="E34" i="2"/>
  <c r="D29" i="3"/>
  <c r="G35" i="2" s="1"/>
  <c r="F84" i="8" s="1"/>
  <c r="D26" i="3"/>
  <c r="G32" i="2" s="1"/>
  <c r="F81" i="8" s="1"/>
  <c r="D24" i="3"/>
  <c r="D27" i="3"/>
  <c r="G33" i="2" s="1"/>
  <c r="F82" i="8" s="1"/>
  <c r="D33" i="3"/>
  <c r="G39" i="2" s="1"/>
  <c r="D28" i="3"/>
  <c r="G34" i="2" s="1"/>
  <c r="F83" i="8" s="1"/>
  <c r="S35" i="2" l="1"/>
  <c r="H32" i="2"/>
  <c r="G81" i="8" s="1"/>
  <c r="H33" i="2"/>
  <c r="G82" i="8" s="1"/>
  <c r="G53" i="8"/>
  <c r="D83" i="8"/>
  <c r="H16" i="10"/>
  <c r="H21" i="10" s="1"/>
  <c r="C32" i="3"/>
  <c r="F38" i="2" s="1"/>
  <c r="F88" i="8"/>
  <c r="H39" i="2"/>
  <c r="G88" i="8" s="1"/>
  <c r="H34" i="2"/>
  <c r="G83" i="8" s="1"/>
  <c r="H35" i="2"/>
  <c r="G84" i="8" s="1"/>
  <c r="G52" i="8"/>
  <c r="G16" i="10"/>
  <c r="G21" i="10" s="1"/>
  <c r="D82" i="8"/>
  <c r="H30" i="2"/>
  <c r="Q30" i="2"/>
  <c r="S30" i="2" s="1"/>
  <c r="E79" i="8"/>
  <c r="E30" i="2"/>
  <c r="E36" i="2"/>
  <c r="E85" i="8"/>
  <c r="Q36" i="2"/>
  <c r="S36" i="2" s="1"/>
  <c r="G54" i="8"/>
  <c r="I16" i="10"/>
  <c r="I21" i="10" s="1"/>
  <c r="D84" i="8"/>
  <c r="S34" i="2"/>
  <c r="G51" i="8"/>
  <c r="D81" i="8"/>
  <c r="F16" i="10"/>
  <c r="F21" i="10" s="1"/>
  <c r="D30" i="3"/>
  <c r="G36" i="2" s="1"/>
  <c r="D29" i="11" l="1"/>
  <c r="F85" i="8"/>
  <c r="D29" i="10"/>
  <c r="G55" i="8"/>
  <c r="D85" i="8"/>
  <c r="E38" i="2"/>
  <c r="E87" i="8"/>
  <c r="Q38" i="2"/>
  <c r="S38" i="2" s="1"/>
  <c r="H36" i="2"/>
  <c r="G85" i="8" s="1"/>
  <c r="G79" i="8"/>
  <c r="D79" i="8"/>
  <c r="D16" i="10"/>
  <c r="D21" i="10" s="1"/>
  <c r="R38" i="2"/>
  <c r="D32" i="3"/>
  <c r="G38" i="2" s="1"/>
  <c r="D34" i="10" l="1"/>
  <c r="F87" i="8"/>
  <c r="F29" i="11"/>
  <c r="F34" i="11" s="1"/>
  <c r="G57" i="8"/>
  <c r="D87" i="8"/>
  <c r="F29" i="10"/>
  <c r="F34" i="10" s="1"/>
  <c r="H38" i="2"/>
  <c r="G87" i="8" s="1"/>
  <c r="D34" i="11"/>
  <c r="I29" i="11" l="1"/>
  <c r="I34" i="11" s="1"/>
  <c r="H13" i="3"/>
  <c r="E13" i="3" l="1"/>
  <c r="F23" i="2"/>
  <c r="R22" i="2"/>
  <c r="N13" i="3" l="1"/>
  <c r="H23" i="2" s="1"/>
  <c r="H12" i="3"/>
  <c r="E23" i="2"/>
  <c r="E72" i="8"/>
  <c r="N12" i="3"/>
  <c r="H22" i="2" s="1"/>
  <c r="G13" i="3"/>
  <c r="L13" i="3" s="1"/>
  <c r="E29" i="4"/>
  <c r="E45" i="4" l="1"/>
  <c r="D72" i="8"/>
  <c r="G24" i="8"/>
  <c r="E34" i="4"/>
  <c r="E47" i="4" s="1"/>
  <c r="G71" i="8"/>
  <c r="V22" i="2"/>
  <c r="Y22" i="2" s="1"/>
  <c r="F22" i="2"/>
  <c r="E12" i="3"/>
  <c r="G23" i="2"/>
  <c r="G72" i="8"/>
  <c r="E71" i="8" l="1"/>
  <c r="Q22" i="2"/>
  <c r="S22" i="2" s="1"/>
  <c r="E22" i="2"/>
  <c r="F72" i="8"/>
  <c r="E29" i="7"/>
  <c r="E34" i="7" s="1"/>
  <c r="G22" i="2"/>
  <c r="D29" i="4"/>
  <c r="G12" i="3"/>
  <c r="L12" i="3" s="1"/>
  <c r="D29" i="7" l="1"/>
  <c r="D34" i="7" s="1"/>
  <c r="F71" i="8"/>
  <c r="D71" i="8"/>
  <c r="D45" i="4"/>
  <c r="G26" i="8"/>
  <c r="D34" i="4"/>
  <c r="D47" i="4" l="1"/>
  <c r="R21" i="2"/>
  <c r="H11" i="3" l="1"/>
  <c r="N11" i="3"/>
  <c r="H21" i="2" s="1"/>
  <c r="G70" i="8" l="1"/>
  <c r="V21" i="2"/>
  <c r="Y21" i="2" s="1"/>
  <c r="F21" i="2"/>
  <c r="E11" i="3"/>
  <c r="H16" i="4" l="1"/>
  <c r="G11" i="3"/>
  <c r="L11" i="3" s="1"/>
  <c r="E21" i="2"/>
  <c r="Q21" i="2"/>
  <c r="S21" i="2" s="1"/>
  <c r="E70" i="8"/>
  <c r="G21" i="2"/>
  <c r="H21" i="4" l="1"/>
  <c r="G30" i="8"/>
  <c r="H41" i="4"/>
  <c r="D70" i="8"/>
  <c r="F70" i="8"/>
  <c r="H16" i="7"/>
  <c r="H21" i="7" s="1"/>
  <c r="H43" i="4" l="1"/>
  <c r="H10" i="3" l="1"/>
  <c r="R23" i="2"/>
  <c r="H14" i="3"/>
  <c r="R20" i="2"/>
  <c r="N14" i="3" l="1"/>
  <c r="H24" i="2" s="1"/>
  <c r="E14" i="3"/>
  <c r="F24" i="2"/>
  <c r="E10" i="3"/>
  <c r="F20" i="2"/>
  <c r="G14" i="3" l="1"/>
  <c r="L14" i="3" s="1"/>
  <c r="F29" i="4"/>
  <c r="E20" i="2"/>
  <c r="Q20" i="2"/>
  <c r="S20" i="2" s="1"/>
  <c r="E69" i="8"/>
  <c r="G73" i="8"/>
  <c r="G24" i="2"/>
  <c r="G10" i="3"/>
  <c r="L10" i="3" s="1"/>
  <c r="G16" i="4"/>
  <c r="E24" i="2"/>
  <c r="Q23" i="2"/>
  <c r="S23" i="2" s="1"/>
  <c r="E73" i="8"/>
  <c r="N10" i="3"/>
  <c r="H20" i="2" s="1"/>
  <c r="D69" i="8" l="1"/>
  <c r="G41" i="4"/>
  <c r="G33" i="8"/>
  <c r="F34" i="4"/>
  <c r="G28" i="8"/>
  <c r="G21" i="4"/>
  <c r="G43" i="4" s="1"/>
  <c r="F29" i="7"/>
  <c r="F34" i="7" s="1"/>
  <c r="F73" i="8"/>
  <c r="G69" i="8"/>
  <c r="G20" i="2"/>
  <c r="V20" i="2"/>
  <c r="Y20" i="2" s="1"/>
  <c r="D73" i="8"/>
  <c r="F45" i="4"/>
  <c r="G16" i="7" l="1"/>
  <c r="G21" i="7" s="1"/>
  <c r="F69" i="8"/>
  <c r="F47" i="4"/>
  <c r="R19" i="2" l="1"/>
  <c r="H9" i="3"/>
  <c r="N9" i="3"/>
  <c r="H19" i="2" s="1"/>
  <c r="E9" i="3" l="1"/>
  <c r="F19" i="2"/>
  <c r="G19" i="2" s="1"/>
  <c r="G68" i="8"/>
  <c r="V19" i="2"/>
  <c r="Y19" i="2" s="1"/>
  <c r="E68" i="8" l="1"/>
  <c r="E19" i="2"/>
  <c r="Q19" i="2"/>
  <c r="S19" i="2" s="1"/>
  <c r="F68" i="8"/>
  <c r="F16" i="7"/>
  <c r="F21" i="7" s="1"/>
  <c r="G9" i="3"/>
  <c r="L9" i="3" s="1"/>
  <c r="F16" i="4"/>
  <c r="D68" i="8" l="1"/>
  <c r="F41" i="4"/>
  <c r="F21" i="4"/>
  <c r="G22" i="8"/>
  <c r="F43" i="4" l="1"/>
  <c r="R18" i="2"/>
  <c r="H8" i="3" l="1"/>
  <c r="R17" i="2"/>
  <c r="E8" i="3" l="1"/>
  <c r="F18" i="2"/>
  <c r="N8" i="3"/>
  <c r="H18" i="2" s="1"/>
  <c r="R25" i="2"/>
  <c r="E16" i="4" l="1"/>
  <c r="G8" i="3"/>
  <c r="L8" i="3" s="1"/>
  <c r="C25" i="3"/>
  <c r="H7" i="3"/>
  <c r="V18" i="2"/>
  <c r="Y18" i="2" s="1"/>
  <c r="G18" i="2"/>
  <c r="G67" i="8"/>
  <c r="E67" i="8"/>
  <c r="Q18" i="2"/>
  <c r="S18" i="2" s="1"/>
  <c r="E18" i="2"/>
  <c r="F31" i="2" l="1"/>
  <c r="C36" i="3"/>
  <c r="D67" i="8"/>
  <c r="E41" i="4"/>
  <c r="F67" i="8"/>
  <c r="E16" i="7"/>
  <c r="E21" i="7" s="1"/>
  <c r="G20" i="8"/>
  <c r="E21" i="4"/>
  <c r="E43" i="4" s="1"/>
  <c r="N7" i="3"/>
  <c r="H18" i="3"/>
  <c r="F17" i="2"/>
  <c r="E7" i="3"/>
  <c r="R31" i="2" l="1"/>
  <c r="N18" i="3"/>
  <c r="H17" i="2"/>
  <c r="D25" i="3"/>
  <c r="E80" i="8"/>
  <c r="Q31" i="2"/>
  <c r="Q41" i="2" s="1"/>
  <c r="E31" i="2"/>
  <c r="F41" i="2"/>
  <c r="E90" i="8" s="1"/>
  <c r="G7" i="3"/>
  <c r="L7" i="3" s="1"/>
  <c r="L18" i="3" s="1"/>
  <c r="D16" i="4"/>
  <c r="E18" i="3"/>
  <c r="E66" i="8"/>
  <c r="Q17" i="2"/>
  <c r="S17" i="2" s="1"/>
  <c r="E17" i="2"/>
  <c r="F26" i="2"/>
  <c r="D41" i="4" l="1"/>
  <c r="D66" i="8"/>
  <c r="E26" i="2"/>
  <c r="D80" i="8"/>
  <c r="G50" i="8"/>
  <c r="G60" i="8" s="1"/>
  <c r="E16" i="10"/>
  <c r="E41" i="2"/>
  <c r="G31" i="2"/>
  <c r="D36" i="3"/>
  <c r="R41" i="2"/>
  <c r="S41" i="2" s="1"/>
  <c r="S31" i="2"/>
  <c r="G66" i="8"/>
  <c r="H26" i="2"/>
  <c r="V17" i="2"/>
  <c r="Y17" i="2" s="1"/>
  <c r="G17" i="2"/>
  <c r="F44" i="2"/>
  <c r="Q25" i="2"/>
  <c r="S25" i="2" s="1"/>
  <c r="E75" i="8"/>
  <c r="G18" i="8"/>
  <c r="G36" i="8" s="1"/>
  <c r="H29" i="4"/>
  <c r="H34" i="4" s="1"/>
  <c r="D21" i="4"/>
  <c r="D43" i="4" s="1"/>
  <c r="D16" i="7" l="1"/>
  <c r="F66" i="8"/>
  <c r="G26" i="2"/>
  <c r="H31" i="2"/>
  <c r="G41" i="2"/>
  <c r="F80" i="8"/>
  <c r="G11" i="8"/>
  <c r="D90" i="8"/>
  <c r="D75" i="8"/>
  <c r="H45" i="4"/>
  <c r="H47" i="4" s="1"/>
  <c r="E44" i="2"/>
  <c r="D93" i="8" s="1"/>
  <c r="G9" i="8"/>
  <c r="G75" i="8"/>
  <c r="E21" i="10"/>
  <c r="I29" i="10"/>
  <c r="I34" i="10" s="1"/>
  <c r="E93" i="8"/>
  <c r="G80" i="8" l="1"/>
  <c r="H41" i="2"/>
  <c r="G44" i="2"/>
  <c r="F93" i="8" s="1"/>
  <c r="F75" i="8"/>
  <c r="K9" i="8"/>
  <c r="F90" i="8"/>
  <c r="K11" i="8"/>
  <c r="H29" i="7"/>
  <c r="H34" i="7" s="1"/>
  <c r="D21" i="7"/>
  <c r="G90" i="8" l="1"/>
  <c r="H44" i="2"/>
  <c r="G93" i="8" l="1"/>
</calcChain>
</file>

<file path=xl/sharedStrings.xml><?xml version="1.0" encoding="utf-8"?>
<sst xmlns="http://schemas.openxmlformats.org/spreadsheetml/2006/main" count="251" uniqueCount="140">
  <si>
    <t>Per Books</t>
  </si>
  <si>
    <t>Test Year</t>
  </si>
  <si>
    <t>Adjustments</t>
  </si>
  <si>
    <t>Line</t>
  </si>
  <si>
    <t>for Proposed</t>
  </si>
  <si>
    <t>at Proposed</t>
  </si>
  <si>
    <t>No.</t>
  </si>
  <si>
    <t>Description</t>
  </si>
  <si>
    <t>Present Rates</t>
  </si>
  <si>
    <t>Rates</t>
  </si>
  <si>
    <t xml:space="preserve"> </t>
  </si>
  <si>
    <t xml:space="preserve">  Residential</t>
  </si>
  <si>
    <t xml:space="preserve">  Commercial</t>
  </si>
  <si>
    <t xml:space="preserve">  Industrial</t>
  </si>
  <si>
    <t xml:space="preserve">  Other Public Authorities</t>
  </si>
  <si>
    <t xml:space="preserve">  Sales for Resale</t>
  </si>
  <si>
    <t xml:space="preserve">  Miscellaneous</t>
  </si>
  <si>
    <t>Total Sales of Water</t>
  </si>
  <si>
    <t>.</t>
  </si>
  <si>
    <t>Other Operating Revenues</t>
  </si>
  <si>
    <t>Total Other Operating Revenues</t>
  </si>
  <si>
    <t>Total Operating Revenues</t>
  </si>
  <si>
    <t>Supporting</t>
  </si>
  <si>
    <t>Schedule</t>
  </si>
  <si>
    <t>Reference</t>
  </si>
  <si>
    <t>Total</t>
  </si>
  <si>
    <t>Other</t>
  </si>
  <si>
    <t>Residential</t>
  </si>
  <si>
    <t>Commercial</t>
  </si>
  <si>
    <t>Industrial</t>
  </si>
  <si>
    <t>Public Authorities</t>
  </si>
  <si>
    <t>Fire</t>
  </si>
  <si>
    <t>Proposed Rates</t>
  </si>
  <si>
    <t>Detail</t>
  </si>
  <si>
    <t>Shown on</t>
  </si>
  <si>
    <t>Schedule No.</t>
  </si>
  <si>
    <t xml:space="preserve">Line </t>
  </si>
  <si>
    <t>Number</t>
  </si>
  <si>
    <t>Notes:</t>
  </si>
  <si>
    <t>Adjustments are discussed in Exhibit files.</t>
  </si>
  <si>
    <t>Base Period</t>
  </si>
  <si>
    <t>Other Water Revenue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</si>
  <si>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</si>
  <si>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</si>
  <si>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</si>
  <si>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</si>
  <si>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</si>
  <si>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</si>
  <si>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</si>
  <si>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</si>
  <si>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</si>
  <si>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</si>
  <si>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 xml:space="preserve">  Sale for Resale</t>
  </si>
  <si>
    <t>Unbilled</t>
  </si>
  <si>
    <t>Difference</t>
  </si>
  <si>
    <t>Rent</t>
  </si>
  <si>
    <t>Rent I/C</t>
  </si>
  <si>
    <t>Usage Data</t>
  </si>
  <si>
    <t>Collect for Others</t>
  </si>
  <si>
    <t>NSF Check Charge</t>
  </si>
  <si>
    <t>Miscellaneous Service</t>
  </si>
  <si>
    <t>WW-Miscellaneous Service</t>
  </si>
  <si>
    <t>Sales of Water</t>
  </si>
  <si>
    <t>Unbilled Adjustment</t>
  </si>
  <si>
    <t>Miscellaneous</t>
  </si>
  <si>
    <t>Late Payment Fee</t>
  </si>
  <si>
    <t>Application/Initiation Fee</t>
  </si>
  <si>
    <t>Reconnect Fee</t>
  </si>
  <si>
    <t>Other Water</t>
  </si>
  <si>
    <t>Revenue</t>
  </si>
  <si>
    <t>Late</t>
  </si>
  <si>
    <t>Payment Fee</t>
  </si>
  <si>
    <t xml:space="preserve">Collect </t>
  </si>
  <si>
    <t>for Others</t>
  </si>
  <si>
    <t>Check Charge</t>
  </si>
  <si>
    <t xml:space="preserve">NSF </t>
  </si>
  <si>
    <t>Application/</t>
  </si>
  <si>
    <t>Initiation Fee</t>
  </si>
  <si>
    <t>Usage</t>
  </si>
  <si>
    <t>Data</t>
  </si>
  <si>
    <t xml:space="preserve">Reconnect </t>
  </si>
  <si>
    <t>Fee</t>
  </si>
  <si>
    <t xml:space="preserve">Miscellaneous </t>
  </si>
  <si>
    <t>Service</t>
  </si>
  <si>
    <t>WW-Miscellaneous</t>
  </si>
  <si>
    <t>To Adjust for the Forecast Period</t>
  </si>
  <si>
    <t>Forecast Year</t>
  </si>
  <si>
    <t>Forecast Year at Proposed Rates</t>
  </si>
  <si>
    <t>Water Revenues</t>
  </si>
  <si>
    <t>Other Revenues</t>
  </si>
  <si>
    <t>Present Rate</t>
  </si>
  <si>
    <t>Proposed Rate</t>
  </si>
  <si>
    <t xml:space="preserve">  Other Water Revenue</t>
  </si>
  <si>
    <t xml:space="preserve">Other </t>
  </si>
  <si>
    <t>Water Revenue</t>
  </si>
  <si>
    <t>for Present</t>
  </si>
  <si>
    <t>at Present</t>
  </si>
  <si>
    <t>12 Months Ended</t>
  </si>
  <si>
    <t>By Account for Schedule C</t>
  </si>
  <si>
    <t>Changes in</t>
  </si>
  <si>
    <t>Sale</t>
  </si>
  <si>
    <t>for Resale</t>
  </si>
  <si>
    <t>Adjustment</t>
  </si>
  <si>
    <t>Exhibit</t>
  </si>
  <si>
    <t>Res Sales Billed</t>
  </si>
  <si>
    <t>Res Sales Unbilled</t>
  </si>
  <si>
    <t>Com Sales Billed</t>
  </si>
  <si>
    <t>Com Sales Unbilled</t>
  </si>
  <si>
    <t>Ind Sales Billed</t>
  </si>
  <si>
    <t>Ind Sales Unbilled</t>
  </si>
  <si>
    <t>Publ Fire Billed</t>
  </si>
  <si>
    <t>Priv Fire Billed</t>
  </si>
  <si>
    <t>Publ Auth Billed</t>
  </si>
  <si>
    <t>Publ Auth Unbilled</t>
  </si>
  <si>
    <t>Sls/Rsle Billed</t>
  </si>
  <si>
    <t>Sls/Rsle Billed I/C</t>
  </si>
  <si>
    <t>SalesforRsle Unbilld</t>
  </si>
  <si>
    <t>Misc Sales Billed</t>
  </si>
  <si>
    <t xml:space="preserve">Private </t>
  </si>
  <si>
    <t>Public</t>
  </si>
  <si>
    <t xml:space="preserve">  Public Fire</t>
  </si>
  <si>
    <t xml:space="preserve">  Private Fire</t>
  </si>
  <si>
    <t>For Schedule D</t>
  </si>
  <si>
    <t>Base Year</t>
  </si>
  <si>
    <t>Adjustments for Present Rates</t>
  </si>
  <si>
    <t>Forecast Year at Present Rates</t>
  </si>
  <si>
    <t>Adjustments for Proposed Rates</t>
  </si>
  <si>
    <t>Exhibit 37, Schedule M-1</t>
  </si>
  <si>
    <t>Revenue Summary</t>
  </si>
  <si>
    <t>Summary of Adjustments for Operating Revenues for Forecast Year at Proposed Rates</t>
  </si>
  <si>
    <t>Summary of Adjustments for Operating Revenues at Present Rates</t>
  </si>
  <si>
    <t>Summary of Adjustments for Other Revenues for Forecast Year at Proposed Rates</t>
  </si>
  <si>
    <t/>
  </si>
  <si>
    <t>Schedule M-3</t>
  </si>
  <si>
    <t>Misc Sales Unbilled</t>
  </si>
  <si>
    <t>Priv Fire Unbilled</t>
  </si>
  <si>
    <t>Billing Determinants</t>
  </si>
  <si>
    <t>Base Peiod Ended 2/28/19 &amp; the Forecast Year Ended 6/30/20 (At Both Present and Proposed Rates)</t>
  </si>
  <si>
    <t>Publ Fire Unbilled</t>
  </si>
  <si>
    <t>Change in Billing Determinants and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</si>
</sst>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000_);_(* \(#,##0.00000000\);_(* &quot;-&quot;??_);_(@_)"/>
    <numFmt numFmtId="166" formatCode="_(&quot;$&quot;* #,##0.00_);_(&quot;$&quot;* \(#,##0.00\);_(&quot;$&quot;* &quot;-&quot;_);_(@_)"/>
    <numFmt numFmtId="167" formatCode="m/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">
    <xf numFmtId="0" fontId="0" fillId="0" borderId="0"/>
    <xf numFmtId="3" fontId="2" fillId="0" borderId="0"/>
    <xf numFmtId="0" fontId="11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5" fillId="0" borderId="0"/>
    <xf numFmtId="0" fontId="14" fillId="0" borderId="0"/>
    <xf numFmtId="0" fontId="14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" fillId="0" borderId="0"/>
    <xf numFmtId="0" fontId="1" fillId="2" borderId="3" applyNumberFormat="0" applyFont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3" fontId="3" fillId="0" borderId="0" xfId="1" applyNumberFormat="1" applyFont="1" applyAlignment="1">
      <alignment horizontal="centerContinuous"/>
    </xf>
    <xf numFmtId="3" fontId="4" fillId="0" borderId="0" xfId="1" applyNumberFormat="1" applyFont="1" applyAlignment="1">
      <alignment horizontal="centerContinuous"/>
    </xf>
    <xf numFmtId="3" fontId="4" fillId="0" borderId="0" xfId="1" applyFont="1" applyAlignment="1"/>
    <xf numFmtId="3" fontId="4" fillId="0" borderId="0" xfId="1" applyFont="1" applyAlignment="1">
      <alignment horizontal="center"/>
    </xf>
    <xf numFmtId="3" fontId="6" fillId="0" borderId="0" xfId="0" applyNumberFormat="1" applyFont="1" applyAlignment="1"/>
    <xf numFmtId="37" fontId="4" fillId="0" borderId="0" xfId="1" applyNumberFormat="1" applyFont="1" applyAlignment="1"/>
    <xf numFmtId="37" fontId="7" fillId="0" borderId="0" xfId="1" applyNumberFormat="1" applyFont="1" applyAlignment="1"/>
    <xf numFmtId="3" fontId="4" fillId="0" borderId="0" xfId="1" applyFont="1" applyFill="1" applyAlignment="1"/>
    <xf numFmtId="3" fontId="8" fillId="0" borderId="0" xfId="0" applyNumberFormat="1" applyFont="1" applyAlignment="1"/>
    <xf numFmtId="3" fontId="8" fillId="0" borderId="0" xfId="1" applyFont="1" applyAlignment="1"/>
    <xf numFmtId="3" fontId="10" fillId="0" borderId="0" xfId="1" applyFont="1" applyAlignment="1"/>
    <xf numFmtId="3" fontId="10" fillId="0" borderId="0" xfId="0" applyNumberFormat="1" applyFont="1" applyAlignment="1"/>
    <xf numFmtId="42" fontId="0" fillId="0" borderId="0" xfId="0" applyNumberForma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6" fillId="0" borderId="0" xfId="2" applyFont="1"/>
    <xf numFmtId="42" fontId="6" fillId="0" borderId="0" xfId="2" applyNumberFormat="1" applyFont="1"/>
    <xf numFmtId="0" fontId="6" fillId="0" borderId="0" xfId="2" applyFont="1" applyFill="1"/>
    <xf numFmtId="3" fontId="5" fillId="0" borderId="0" xfId="1" applyFont="1" applyAlignment="1">
      <alignment horizontal="center"/>
    </xf>
    <xf numFmtId="0" fontId="0" fillId="0" borderId="0" xfId="0" applyBorder="1"/>
    <xf numFmtId="42" fontId="6" fillId="0" borderId="0" xfId="2" applyNumberFormat="1" applyFont="1" applyBorder="1"/>
    <xf numFmtId="3" fontId="0" fillId="0" borderId="0" xfId="0" applyNumberFormat="1" applyFont="1" applyAlignment="1"/>
    <xf numFmtId="0" fontId="0" fillId="0" borderId="0" xfId="0" applyFont="1"/>
    <xf numFmtId="3" fontId="3" fillId="0" borderId="0" xfId="1" applyFont="1" applyAlignment="1">
      <alignment horizontal="right"/>
    </xf>
    <xf numFmtId="164" fontId="0" fillId="0" borderId="0" xfId="0" applyNumberFormat="1" applyFont="1"/>
    <xf numFmtId="3" fontId="3" fillId="0" borderId="0" xfId="1" applyFont="1" applyAlignment="1"/>
    <xf numFmtId="41" fontId="6" fillId="0" borderId="0" xfId="2" applyNumberFormat="1" applyFont="1"/>
    <xf numFmtId="3" fontId="18" fillId="0" borderId="0" xfId="0" applyNumberFormat="1" applyFont="1" applyAlignment="1"/>
    <xf numFmtId="3" fontId="19" fillId="0" borderId="0" xfId="1" applyFont="1" applyAlignment="1">
      <alignment horizontal="center"/>
    </xf>
    <xf numFmtId="3" fontId="19" fillId="0" borderId="0" xfId="1" applyFont="1" applyBorder="1" applyAlignment="1">
      <alignment horizontal="center"/>
    </xf>
    <xf numFmtId="3" fontId="19" fillId="0" borderId="5" xfId="1" applyFont="1" applyBorder="1" applyAlignment="1">
      <alignment horizontal="center"/>
    </xf>
    <xf numFmtId="3" fontId="20" fillId="0" borderId="0" xfId="1" applyFont="1" applyAlignment="1"/>
    <xf numFmtId="3" fontId="20" fillId="0" borderId="0" xfId="1" applyFont="1" applyAlignment="1">
      <alignment horizontal="center"/>
    </xf>
    <xf numFmtId="3" fontId="21" fillId="0" borderId="0" xfId="0" applyNumberFormat="1" applyFont="1" applyAlignment="1"/>
    <xf numFmtId="3" fontId="22" fillId="0" borderId="0" xfId="1" applyFont="1" applyBorder="1" applyAlignment="1">
      <alignment horizontal="center"/>
    </xf>
    <xf numFmtId="3" fontId="19" fillId="0" borderId="0" xfId="1" applyFont="1" applyAlignment="1"/>
    <xf numFmtId="3" fontId="22" fillId="0" borderId="0" xfId="1" applyFont="1" applyAlignment="1">
      <alignment horizontal="center"/>
    </xf>
    <xf numFmtId="42" fontId="23" fillId="0" borderId="6" xfId="0" applyNumberFormat="1" applyFont="1" applyBorder="1"/>
    <xf numFmtId="42" fontId="23" fillId="0" borderId="0" xfId="0" applyNumberFormat="1" applyFont="1" applyBorder="1"/>
    <xf numFmtId="3" fontId="21" fillId="0" borderId="0" xfId="0" applyNumberFormat="1" applyFont="1" applyBorder="1" applyAlignment="1"/>
    <xf numFmtId="3" fontId="18" fillId="0" borderId="0" xfId="0" applyNumberFormat="1" applyFont="1" applyBorder="1" applyAlignment="1"/>
    <xf numFmtId="14" fontId="19" fillId="0" borderId="0" xfId="1" applyNumberFormat="1" applyFont="1" applyBorder="1" applyAlignment="1">
      <alignment horizontal="center"/>
    </xf>
    <xf numFmtId="5" fontId="0" fillId="0" borderId="0" xfId="0" applyNumberFormat="1"/>
    <xf numFmtId="43" fontId="0" fillId="0" borderId="0" xfId="0" applyNumberFormat="1" applyFont="1"/>
    <xf numFmtId="5" fontId="0" fillId="0" borderId="0" xfId="0" applyNumberFormat="1" applyFont="1"/>
    <xf numFmtId="164" fontId="24" fillId="0" borderId="0" xfId="0" applyNumberFormat="1" applyFont="1"/>
    <xf numFmtId="37" fontId="24" fillId="0" borderId="0" xfId="0" applyNumberFormat="1" applyFont="1"/>
    <xf numFmtId="0" fontId="24" fillId="0" borderId="0" xfId="0" applyFont="1"/>
    <xf numFmtId="0" fontId="6" fillId="0" borderId="0" xfId="2" applyFont="1" applyAlignment="1">
      <alignment horizontal="center"/>
    </xf>
    <xf numFmtId="0" fontId="13" fillId="0" borderId="0" xfId="2" applyFont="1"/>
    <xf numFmtId="164" fontId="21" fillId="0" borderId="0" xfId="0" applyNumberFormat="1" applyFont="1"/>
    <xf numFmtId="0" fontId="21" fillId="0" borderId="0" xfId="0" applyFont="1"/>
    <xf numFmtId="37" fontId="21" fillId="0" borderId="0" xfId="0" applyNumberFormat="1" applyFont="1"/>
    <xf numFmtId="42" fontId="0" fillId="0" borderId="0" xfId="0" applyNumberFormat="1" applyFont="1"/>
    <xf numFmtId="165" fontId="0" fillId="0" borderId="0" xfId="21" applyNumberFormat="1" applyFont="1"/>
    <xf numFmtId="3" fontId="6" fillId="0" borderId="0" xfId="2" applyNumberFormat="1" applyFont="1"/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4" fillId="0" borderId="0" xfId="1" applyFont="1" applyBorder="1" applyAlignment="1">
      <alignment horizontal="center"/>
    </xf>
    <xf numFmtId="3" fontId="5" fillId="0" borderId="0" xfId="1" applyFont="1" applyBorder="1" applyAlignment="1">
      <alignment horizontal="center"/>
    </xf>
    <xf numFmtId="37" fontId="4" fillId="0" borderId="0" xfId="1" applyNumberFormat="1" applyFont="1" applyBorder="1" applyAlignment="1"/>
    <xf numFmtId="42" fontId="4" fillId="0" borderId="0" xfId="1" applyNumberFormat="1" applyFont="1" applyBorder="1" applyAlignment="1"/>
    <xf numFmtId="42" fontId="4" fillId="0" borderId="0" xfId="1" applyNumberFormat="1" applyFont="1" applyFill="1" applyBorder="1" applyAlignment="1"/>
    <xf numFmtId="41" fontId="4" fillId="0" borderId="0" xfId="1" applyNumberFormat="1" applyFont="1" applyBorder="1" applyAlignment="1"/>
    <xf numFmtId="41" fontId="4" fillId="0" borderId="0" xfId="1" applyNumberFormat="1" applyFont="1" applyFill="1" applyBorder="1" applyAlignment="1"/>
    <xf numFmtId="41" fontId="4" fillId="0" borderId="0" xfId="1" applyNumberFormat="1" applyFont="1" applyFill="1" applyBorder="1" applyAlignment="1" applyProtection="1">
      <protection locked="0"/>
    </xf>
    <xf numFmtId="41" fontId="9" fillId="0" borderId="0" xfId="1" applyNumberFormat="1" applyFont="1" applyFill="1" applyBorder="1" applyAlignment="1" applyProtection="1">
      <protection locked="0"/>
    </xf>
    <xf numFmtId="3" fontId="10" fillId="0" borderId="0" xfId="1" applyFont="1" applyBorder="1" applyAlignment="1"/>
    <xf numFmtId="3" fontId="6" fillId="0" borderId="0" xfId="0" applyNumberFormat="1" applyFont="1" applyBorder="1" applyAlignment="1"/>
    <xf numFmtId="0" fontId="0" fillId="0" borderId="0" xfId="0" applyFont="1" applyBorder="1"/>
    <xf numFmtId="0" fontId="25" fillId="0" borderId="0" xfId="0" applyFont="1" applyBorder="1"/>
    <xf numFmtId="42" fontId="23" fillId="0" borderId="0" xfId="10" applyNumberFormat="1" applyFont="1" applyAlignment="1">
      <alignment horizontal="left" inden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3" fontId="3" fillId="0" borderId="0" xfId="1" applyFont="1" applyAlignment="1">
      <alignment horizontal="center"/>
    </xf>
    <xf numFmtId="37" fontId="0" fillId="0" borderId="0" xfId="0" applyNumberFormat="1"/>
    <xf numFmtId="41" fontId="13" fillId="0" borderId="0" xfId="2" applyNumberFormat="1" applyFont="1" applyAlignment="1">
      <alignment horizontal="center"/>
    </xf>
    <xf numFmtId="37" fontId="6" fillId="0" borderId="0" xfId="0" applyNumberFormat="1" applyFont="1" applyBorder="1"/>
    <xf numFmtId="37" fontId="11" fillId="0" borderId="0" xfId="0" applyNumberFormat="1" applyFont="1" applyBorder="1"/>
    <xf numFmtId="166" fontId="6" fillId="0" borderId="0" xfId="2" applyNumberFormat="1" applyFont="1"/>
    <xf numFmtId="39" fontId="0" fillId="0" borderId="0" xfId="0" applyNumberFormat="1"/>
    <xf numFmtId="3" fontId="3" fillId="0" borderId="0" xfId="1" applyFont="1" applyAlignment="1">
      <alignment horizontal="center"/>
    </xf>
    <xf numFmtId="3" fontId="0" fillId="0" borderId="0" xfId="0" applyNumberFormat="1"/>
    <xf numFmtId="0" fontId="16" fillId="0" borderId="5" xfId="0" applyFont="1" applyBorder="1"/>
    <xf numFmtId="3" fontId="3" fillId="0" borderId="0" xfId="1" applyFont="1" applyAlignment="1">
      <alignment horizontal="center"/>
    </xf>
    <xf numFmtId="3" fontId="3" fillId="0" borderId="0" xfId="1" applyFont="1" applyAlignment="1">
      <alignment horizontal="left"/>
    </xf>
    <xf numFmtId="3" fontId="3" fillId="0" borderId="0" xfId="1" applyFont="1" applyFill="1" applyAlignment="1">
      <alignment horizontal="right"/>
    </xf>
    <xf numFmtId="3" fontId="3" fillId="0" borderId="0" xfId="1" applyFont="1" applyFill="1" applyAlignment="1">
      <alignment horizontal="left"/>
    </xf>
    <xf numFmtId="0" fontId="0" fillId="0" borderId="0" xfId="0" applyFill="1"/>
    <xf numFmtId="0" fontId="0" fillId="0" borderId="0" xfId="0" applyFill="1" applyBorder="1"/>
    <xf numFmtId="42" fontId="0" fillId="0" borderId="0" xfId="0" applyNumberFormat="1" applyFill="1"/>
    <xf numFmtId="3" fontId="5" fillId="0" borderId="0" xfId="1" applyFont="1" applyAlignment="1"/>
    <xf numFmtId="3" fontId="17" fillId="0" borderId="0" xfId="0" applyNumberFormat="1" applyFont="1" applyFill="1" applyAlignment="1"/>
    <xf numFmtId="0" fontId="0" fillId="0" borderId="0" xfId="0" applyFont="1" applyFill="1"/>
    <xf numFmtId="0" fontId="13" fillId="0" borderId="0" xfId="2" applyFont="1" applyFill="1" applyAlignment="1">
      <alignment horizontal="right"/>
    </xf>
    <xf numFmtId="37" fontId="13" fillId="0" borderId="0" xfId="0" applyNumberFormat="1" applyFont="1" applyFill="1" applyBorder="1"/>
    <xf numFmtId="3" fontId="3" fillId="0" borderId="0" xfId="1" applyFont="1" applyAlignment="1">
      <alignment horizontal="center"/>
    </xf>
    <xf numFmtId="3" fontId="3" fillId="0" borderId="5" xfId="1" applyFont="1" applyBorder="1" applyAlignment="1">
      <alignment horizontal="center"/>
    </xf>
    <xf numFmtId="167" fontId="3" fillId="0" borderId="5" xfId="1" applyNumberFormat="1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42" fontId="23" fillId="0" borderId="0" xfId="10" applyNumberFormat="1" applyFont="1" applyFill="1" applyAlignment="1">
      <alignment horizontal="left" indent="1"/>
    </xf>
    <xf numFmtId="5" fontId="6" fillId="0" borderId="0" xfId="2" applyNumberFormat="1" applyFont="1"/>
    <xf numFmtId="0" fontId="16" fillId="0" borderId="5" xfId="0" applyFont="1" applyFill="1" applyBorder="1" applyAlignment="1">
      <alignment horizontal="center"/>
    </xf>
    <xf numFmtId="37" fontId="0" fillId="0" borderId="0" xfId="0" applyNumberFormat="1" applyFill="1"/>
    <xf numFmtId="37" fontId="4" fillId="0" borderId="1" xfId="1" applyNumberFormat="1" applyFont="1" applyBorder="1" applyAlignment="1"/>
    <xf numFmtId="37" fontId="4" fillId="0" borderId="1" xfId="1" applyNumberFormat="1" applyFont="1" applyFill="1" applyBorder="1" applyAlignment="1"/>
    <xf numFmtId="37" fontId="10" fillId="0" borderId="2" xfId="1" applyNumberFormat="1" applyFont="1" applyBorder="1" applyAlignment="1"/>
    <xf numFmtId="37" fontId="10" fillId="0" borderId="0" xfId="1" applyNumberFormat="1" applyFont="1" applyAlignment="1"/>
    <xf numFmtId="37" fontId="6" fillId="0" borderId="0" xfId="0" applyNumberFormat="1" applyFont="1" applyAlignment="1"/>
    <xf numFmtId="37" fontId="0" fillId="0" borderId="0" xfId="0" applyNumberFormat="1" applyFont="1"/>
    <xf numFmtId="37" fontId="25" fillId="0" borderId="0" xfId="0" applyNumberFormat="1" applyFont="1"/>
    <xf numFmtId="37" fontId="0" fillId="0" borderId="0" xfId="21" applyNumberFormat="1" applyFont="1"/>
    <xf numFmtId="5" fontId="4" fillId="0" borderId="0" xfId="1" applyNumberFormat="1" applyFont="1" applyAlignment="1"/>
    <xf numFmtId="5" fontId="4" fillId="0" borderId="1" xfId="1" applyNumberFormat="1" applyFont="1" applyBorder="1" applyAlignment="1"/>
    <xf numFmtId="37" fontId="6" fillId="0" borderId="0" xfId="2" applyNumberFormat="1" applyFont="1"/>
    <xf numFmtId="5" fontId="6" fillId="0" borderId="4" xfId="2" applyNumberFormat="1" applyFont="1" applyBorder="1"/>
    <xf numFmtId="14" fontId="0" fillId="0" borderId="0" xfId="0" applyNumberFormat="1" applyFill="1" applyAlignment="1">
      <alignment horizontal="left"/>
    </xf>
    <xf numFmtId="41" fontId="6" fillId="0" borderId="0" xfId="2" applyNumberFormat="1" applyFont="1" applyAlignment="1">
      <alignment horizontal="center"/>
    </xf>
    <xf numFmtId="3" fontId="3" fillId="0" borderId="0" xfId="1" applyFont="1" applyAlignment="1">
      <alignment horizontal="center"/>
    </xf>
    <xf numFmtId="37" fontId="0" fillId="0" borderId="0" xfId="0" applyNumberFormat="1" applyFill="1" applyBorder="1"/>
    <xf numFmtId="37" fontId="4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0" fillId="0" borderId="0" xfId="20" applyNumberFormat="1" applyFont="1"/>
    <xf numFmtId="37" fontId="0" fillId="0" borderId="0" xfId="0" applyNumberFormat="1" applyBorder="1"/>
    <xf numFmtId="37" fontId="0" fillId="0" borderId="0" xfId="0" applyNumberFormat="1" applyAlignment="1">
      <alignment horizontal="center" wrapText="1"/>
    </xf>
    <xf numFmtId="37" fontId="22" fillId="0" borderId="0" xfId="1" applyNumberFormat="1" applyFont="1" applyAlignment="1">
      <alignment horizontal="center" wrapText="1"/>
    </xf>
    <xf numFmtId="37" fontId="0" fillId="0" borderId="0" xfId="0" applyNumberFormat="1" applyBorder="1" applyAlignment="1">
      <alignment horizontal="center" wrapText="1"/>
    </xf>
    <xf numFmtId="37" fontId="3" fillId="0" borderId="0" xfId="1" applyNumberFormat="1" applyFont="1" applyAlignment="1">
      <alignment horizontal="center"/>
    </xf>
    <xf numFmtId="37" fontId="28" fillId="0" borderId="0" xfId="1" applyNumberFormat="1" applyFont="1" applyAlignment="1">
      <alignment horizontal="center"/>
    </xf>
    <xf numFmtId="3" fontId="3" fillId="0" borderId="0" xfId="1" applyFont="1" applyAlignment="1">
      <alignment horizontal="center" wrapText="1"/>
    </xf>
    <xf numFmtId="0" fontId="6" fillId="0" borderId="0" xfId="2" applyFont="1" applyAlignment="1">
      <alignment wrapText="1"/>
    </xf>
    <xf numFmtId="3" fontId="6" fillId="0" borderId="0" xfId="2" applyNumberFormat="1" applyFont="1" applyAlignment="1">
      <alignment wrapText="1"/>
    </xf>
    <xf numFmtId="3" fontId="5" fillId="0" borderId="0" xfId="1" applyFont="1" applyAlignment="1">
      <alignment horizontal="center"/>
    </xf>
    <xf numFmtId="3" fontId="3" fillId="0" borderId="0" xfId="1" applyFont="1" applyAlignment="1">
      <alignment horizontal="center"/>
    </xf>
  </cellXfs>
  <cellStyles count="22">
    <cellStyle name="Comma" xfId="21" builtinId="3"/>
    <cellStyle name="Comma 2" xfId="3"/>
    <cellStyle name="Comma 2 2" xfId="4"/>
    <cellStyle name="Comma 3" xfId="5"/>
    <cellStyle name="Comma 4" xfId="6"/>
    <cellStyle name="Currency" xfId="20" builtinId="4"/>
    <cellStyle name="Currency 2" xfId="7"/>
    <cellStyle name="Normal" xfId="0" builtinId="0"/>
    <cellStyle name="Normal 2" xfId="2"/>
    <cellStyle name="Normal 2 2" xfId="8"/>
    <cellStyle name="Normal 2_Aqua Revenue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Exhibits" xfId="1"/>
    <cellStyle name="Note 2" xfId="16"/>
    <cellStyle name="Percent 2" xfId="17"/>
    <cellStyle name="Percent 3" xfId="18"/>
    <cellStyle name="Percent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2018%20KY%20Constants_Financial%20Data%20DR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KAWC%202018%20Rate%20Case%20-%20Revenue%20-%20KY%20American%20DR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KAWC%202018%20Rate%20Case%20-%20Revenue%20-%20E.%20Rockcastle%20DR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Revenues/KAWC%202018%20Rate%20Case%20-%20Revenue%20-%20North%20Middletown%20BD%20DR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KAWC%202018%20Rate%20Case%20-%20Other%20Operating%20Revenues%20DR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KAWC%202018%20Rate%20Case%20-%20Revenue%20DR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2018 KY Constants_Financial Dat"/>
    </sheetNames>
    <sheetDataSet>
      <sheetData sheetId="0">
        <row r="9">
          <cell r="C9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39">
          <cell r="C39" t="str">
            <v>Witness Responsible:   Melissa Schwarzell</v>
          </cell>
        </row>
      </sheetData>
      <sheetData sheetId="1"/>
      <sheetData sheetId="2">
        <row r="116">
          <cell r="M116" t="str">
            <v>Schedule M-3</v>
          </cell>
        </row>
      </sheetData>
      <sheetData sheetId="3">
        <row r="10">
          <cell r="R10">
            <v>-416113</v>
          </cell>
        </row>
        <row r="11">
          <cell r="R11">
            <v>-49884345.45088248</v>
          </cell>
        </row>
        <row r="13">
          <cell r="R13">
            <v>-427146</v>
          </cell>
        </row>
        <row r="14">
          <cell r="R14">
            <v>-22913925.500872925</v>
          </cell>
        </row>
        <row r="16">
          <cell r="R16">
            <v>-28117</v>
          </cell>
        </row>
        <row r="17">
          <cell r="R17">
            <v>-2841330</v>
          </cell>
        </row>
        <row r="19">
          <cell r="R19">
            <v>6</v>
          </cell>
        </row>
        <row r="20">
          <cell r="R20">
            <v>-3807199</v>
          </cell>
        </row>
        <row r="23">
          <cell r="R23">
            <v>-11165</v>
          </cell>
        </row>
        <row r="24">
          <cell r="R24">
            <v>-2812617</v>
          </cell>
        </row>
        <row r="26">
          <cell r="R26">
            <v>-271611</v>
          </cell>
        </row>
        <row r="27">
          <cell r="R27">
            <v>-6057232</v>
          </cell>
        </row>
        <row r="30">
          <cell r="R30">
            <v>-39606</v>
          </cell>
        </row>
        <row r="31">
          <cell r="R31">
            <v>-1937407</v>
          </cell>
        </row>
        <row r="34">
          <cell r="R34">
            <v>1430</v>
          </cell>
        </row>
        <row r="37">
          <cell r="R37">
            <v>1284149</v>
          </cell>
        </row>
        <row r="38">
          <cell r="R38">
            <v>-837881</v>
          </cell>
        </row>
        <row r="39">
          <cell r="R39">
            <v>-95656</v>
          </cell>
        </row>
        <row r="40">
          <cell r="R40">
            <v>-154932</v>
          </cell>
        </row>
        <row r="41">
          <cell r="R41">
            <v>0</v>
          </cell>
        </row>
        <row r="42">
          <cell r="R42">
            <v>-30420</v>
          </cell>
        </row>
        <row r="43">
          <cell r="R43">
            <v>-776520</v>
          </cell>
        </row>
        <row r="44">
          <cell r="R44">
            <v>-51797</v>
          </cell>
        </row>
        <row r="45">
          <cell r="R45">
            <v>-573394</v>
          </cell>
        </row>
        <row r="47">
          <cell r="R47">
            <v>-165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46308842</v>
          </cell>
          <cell r="I33">
            <v>57183228</v>
          </cell>
        </row>
        <row r="34">
          <cell r="F34">
            <v>21128224</v>
          </cell>
          <cell r="I34">
            <v>26385811</v>
          </cell>
        </row>
        <row r="35">
          <cell r="F35">
            <v>2515892</v>
          </cell>
          <cell r="I35">
            <v>3095858</v>
          </cell>
        </row>
        <row r="36">
          <cell r="F36">
            <v>5703375</v>
          </cell>
          <cell r="I36">
            <v>7123901</v>
          </cell>
        </row>
        <row r="37">
          <cell r="F37">
            <v>1541318</v>
          </cell>
          <cell r="I37">
            <v>1897359</v>
          </cell>
        </row>
        <row r="38">
          <cell r="F38">
            <v>2664721</v>
          </cell>
          <cell r="I38">
            <v>3011136</v>
          </cell>
        </row>
        <row r="39">
          <cell r="F39">
            <v>3591958</v>
          </cell>
          <cell r="I39">
            <v>4425580</v>
          </cell>
        </row>
        <row r="40">
          <cell r="F40">
            <v>60281</v>
          </cell>
          <cell r="I40">
            <v>60281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309177</v>
          </cell>
          <cell r="I33">
            <v>234593</v>
          </cell>
        </row>
        <row r="34">
          <cell r="F34">
            <v>10279</v>
          </cell>
          <cell r="I34">
            <v>7892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0</v>
          </cell>
          <cell r="I37">
            <v>0</v>
          </cell>
        </row>
        <row r="38"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0">
          <cell r="F40">
            <v>0</v>
          </cell>
          <cell r="I40">
            <v>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250158</v>
          </cell>
          <cell r="I33">
            <v>182608</v>
          </cell>
        </row>
        <row r="34">
          <cell r="F34">
            <v>22553</v>
          </cell>
          <cell r="I34">
            <v>23276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169772</v>
          </cell>
          <cell r="I37">
            <v>180952</v>
          </cell>
        </row>
        <row r="38">
          <cell r="F38">
            <v>0</v>
          </cell>
          <cell r="I38">
            <v>0</v>
          </cell>
        </row>
        <row r="39">
          <cell r="F39">
            <v>19152</v>
          </cell>
          <cell r="I39">
            <v>23597</v>
          </cell>
        </row>
        <row r="40">
          <cell r="F40">
            <v>0</v>
          </cell>
          <cell r="I40">
            <v>0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  <sheetName val="Proposed Rates"/>
      <sheetName val="Other Operating Revenues"/>
      <sheetName val="Pivot Table"/>
      <sheetName val="Map"/>
      <sheetName val="Data"/>
    </sheetNames>
    <sheetDataSet>
      <sheetData sheetId="0" refreshError="1"/>
      <sheetData sheetId="1" refreshError="1">
        <row r="11">
          <cell r="C11">
            <v>0</v>
          </cell>
          <cell r="E11">
            <v>0</v>
          </cell>
        </row>
        <row r="12">
          <cell r="C12">
            <v>773574</v>
          </cell>
          <cell r="E12">
            <v>0</v>
          </cell>
        </row>
        <row r="13">
          <cell r="C13">
            <v>96878</v>
          </cell>
          <cell r="E13">
            <v>0</v>
          </cell>
        </row>
        <row r="14">
          <cell r="C14">
            <v>154930</v>
          </cell>
          <cell r="E14">
            <v>0</v>
          </cell>
        </row>
        <row r="15">
          <cell r="C15">
            <v>0</v>
          </cell>
          <cell r="E15">
            <v>0</v>
          </cell>
        </row>
        <row r="16">
          <cell r="C16">
            <v>30840</v>
          </cell>
          <cell r="E16">
            <v>0</v>
          </cell>
        </row>
        <row r="17">
          <cell r="C17">
            <v>765681</v>
          </cell>
          <cell r="E17">
            <v>0</v>
          </cell>
        </row>
        <row r="18">
          <cell r="C18">
            <v>51538</v>
          </cell>
          <cell r="E18">
            <v>0</v>
          </cell>
        </row>
        <row r="19">
          <cell r="C19">
            <v>598864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</sheetData>
      <sheetData sheetId="2" refreshError="1"/>
      <sheetData sheetId="3" refreshError="1"/>
      <sheetData sheetId="4">
        <row r="33">
          <cell r="E33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46868177</v>
          </cell>
        </row>
        <row r="34">
          <cell r="F34">
            <v>21161056</v>
          </cell>
        </row>
        <row r="35">
          <cell r="F35">
            <v>2515892</v>
          </cell>
        </row>
        <row r="36">
          <cell r="F36">
            <v>5703375</v>
          </cell>
        </row>
        <row r="37">
          <cell r="F37">
            <v>1711088</v>
          </cell>
        </row>
        <row r="38">
          <cell r="F38">
            <v>2664721</v>
          </cell>
        </row>
        <row r="40">
          <cell r="F40">
            <v>60281</v>
          </cell>
        </row>
        <row r="41">
          <cell r="F41">
            <v>0</v>
          </cell>
        </row>
        <row r="42">
          <cell r="F42">
            <v>84295700</v>
          </cell>
        </row>
        <row r="78">
          <cell r="A78" t="str">
            <v>Discovery\PSC\Support\PSCDR2_NUM011\[KAWC 2018 Rate Case - Revenue DR11.xlsx]Sch M</v>
          </cell>
        </row>
      </sheetData>
      <sheetData sheetId="1"/>
      <sheetData sheetId="2">
        <row r="25">
          <cell r="Q25">
            <v>0</v>
          </cell>
        </row>
        <row r="26">
          <cell r="Q26">
            <v>773574</v>
          </cell>
        </row>
        <row r="27">
          <cell r="Q27">
            <v>96878</v>
          </cell>
        </row>
        <row r="28">
          <cell r="Q28">
            <v>154930</v>
          </cell>
        </row>
        <row r="29">
          <cell r="Q29">
            <v>0</v>
          </cell>
        </row>
        <row r="30">
          <cell r="Q30">
            <v>30840</v>
          </cell>
        </row>
        <row r="31">
          <cell r="Q31">
            <v>765681</v>
          </cell>
        </row>
        <row r="32">
          <cell r="Q32">
            <v>51538</v>
          </cell>
        </row>
        <row r="33">
          <cell r="Q33">
            <v>598864</v>
          </cell>
        </row>
        <row r="34">
          <cell r="Q34">
            <v>0</v>
          </cell>
        </row>
        <row r="35">
          <cell r="Q35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H11" sqref="H11"/>
    </sheetView>
  </sheetViews>
  <sheetFormatPr defaultRowHeight="15" x14ac:dyDescent="0.25"/>
  <cols>
    <col min="1" max="1" width="29.7109375" customWidth="1"/>
    <col min="2" max="2" width="15.7109375" bestFit="1" customWidth="1"/>
    <col min="3" max="3" width="13.42578125" customWidth="1"/>
    <col min="4" max="4" width="16.85546875" customWidth="1"/>
    <col min="5" max="5" width="19.5703125" bestFit="1" customWidth="1"/>
    <col min="6" max="6" width="10.140625" customWidth="1"/>
    <col min="7" max="7" width="13.140625" bestFit="1" customWidth="1"/>
    <col min="8" max="8" width="16" customWidth="1"/>
    <col min="9" max="9" width="14.28515625" customWidth="1"/>
    <col min="10" max="10" width="15.7109375" bestFit="1" customWidth="1"/>
    <col min="11" max="11" width="12.42578125" customWidth="1"/>
    <col min="12" max="12" width="13.5703125" bestFit="1" customWidth="1"/>
    <col min="14" max="14" width="12.5703125" customWidth="1"/>
  </cols>
  <sheetData>
    <row r="1" spans="1:14" x14ac:dyDescent="0.25">
      <c r="A1" s="89" t="str">
        <f>'[1]Rate Case Constants'!$C$9</f>
        <v>Kentucky American Water Company</v>
      </c>
    </row>
    <row r="2" spans="1:14" x14ac:dyDescent="0.25">
      <c r="A2" s="89" t="str">
        <f>'[1]Rate Case Constants'!$C$11</f>
        <v>Case No. 2018-00358</v>
      </c>
    </row>
    <row r="3" spans="1:14" x14ac:dyDescent="0.25">
      <c r="A3" s="117">
        <f>'[1]Rate Case Constants'!$C$12</f>
        <v>43524</v>
      </c>
    </row>
    <row r="4" spans="1:14" x14ac:dyDescent="0.25">
      <c r="A4" t="s">
        <v>132</v>
      </c>
      <c r="B4" s="13"/>
    </row>
    <row r="5" spans="1:14" x14ac:dyDescent="0.25">
      <c r="D5" s="73"/>
      <c r="E5" s="73" t="s">
        <v>99</v>
      </c>
      <c r="H5" s="20"/>
      <c r="N5" s="73" t="s">
        <v>1</v>
      </c>
    </row>
    <row r="6" spans="1:14" x14ac:dyDescent="0.25">
      <c r="B6" s="74" t="s">
        <v>0</v>
      </c>
      <c r="C6" s="74" t="s">
        <v>53</v>
      </c>
      <c r="D6" s="74" t="s">
        <v>102</v>
      </c>
      <c r="E6" s="74" t="s">
        <v>136</v>
      </c>
      <c r="G6" s="103" t="s">
        <v>103</v>
      </c>
      <c r="H6" s="103" t="s">
        <v>69</v>
      </c>
      <c r="I6" s="103"/>
      <c r="J6" s="103"/>
      <c r="K6" s="89"/>
      <c r="L6" s="103" t="s">
        <v>54</v>
      </c>
      <c r="M6" s="89"/>
      <c r="N6" s="74" t="s">
        <v>32</v>
      </c>
    </row>
    <row r="7" spans="1:14" x14ac:dyDescent="0.25">
      <c r="A7" s="3" t="s">
        <v>11</v>
      </c>
      <c r="B7" s="104">
        <f>+-ROUND('[1]Link Out Monthly BY'!R11,0)</f>
        <v>49884345</v>
      </c>
      <c r="C7" s="104">
        <f>+-ROUND('[1]Link Out Monthly BY'!R10,0)</f>
        <v>416113</v>
      </c>
      <c r="D7" s="76"/>
      <c r="E7" s="104">
        <f>B7-C7-H7-D7</f>
        <v>2600055</v>
      </c>
      <c r="F7" s="76"/>
      <c r="G7" s="104">
        <f t="shared" ref="G7:G14" si="0">B7-C7-D7-E7</f>
        <v>46868177</v>
      </c>
      <c r="H7" s="104">
        <f>+'[2]Link out'!F33+'[3]Link out'!F33+'[4]Link out'!F33</f>
        <v>46868177</v>
      </c>
      <c r="I7" s="104"/>
      <c r="J7" s="104"/>
      <c r="K7" s="104"/>
      <c r="L7" s="104">
        <f>G7-H7</f>
        <v>0</v>
      </c>
      <c r="M7" s="89"/>
      <c r="N7" s="43">
        <f>+'[2]Link out'!I33+'[3]Link out'!I33+'[4]Link out'!I33</f>
        <v>57600429</v>
      </c>
    </row>
    <row r="8" spans="1:14" x14ac:dyDescent="0.25">
      <c r="A8" s="3" t="s">
        <v>12</v>
      </c>
      <c r="B8" s="104">
        <f>+-ROUND('[1]Link Out Monthly BY'!R14,0)</f>
        <v>22913926</v>
      </c>
      <c r="C8" s="104">
        <f>+-ROUND('[1]Link Out Monthly BY'!R13,0)</f>
        <v>427146</v>
      </c>
      <c r="D8" s="76"/>
      <c r="E8" s="104">
        <f t="shared" ref="E8:E14" si="1">B8-C8-H8-D8</f>
        <v>1325724</v>
      </c>
      <c r="F8" s="76"/>
      <c r="G8" s="104">
        <f t="shared" si="0"/>
        <v>21161056</v>
      </c>
      <c r="H8" s="104">
        <f>+'[2]Link out'!F34+'[3]Link out'!F34+'[4]Link out'!F34</f>
        <v>21161056</v>
      </c>
      <c r="I8" s="104"/>
      <c r="J8" s="104"/>
      <c r="K8" s="104"/>
      <c r="L8" s="104">
        <f t="shared" ref="L8:L14" si="2">G8-H8</f>
        <v>0</v>
      </c>
      <c r="M8" s="89"/>
      <c r="N8" s="43">
        <f>+'[2]Link out'!I34+'[3]Link out'!I34+'[4]Link out'!I34</f>
        <v>26416979</v>
      </c>
    </row>
    <row r="9" spans="1:14" x14ac:dyDescent="0.25">
      <c r="A9" s="3" t="s">
        <v>13</v>
      </c>
      <c r="B9" s="104">
        <f>+-ROUND('[1]Link Out Monthly BY'!R17,0)</f>
        <v>2841330</v>
      </c>
      <c r="C9" s="104">
        <f>+-ROUND('[1]Link Out Monthly BY'!R16,0)</f>
        <v>28117</v>
      </c>
      <c r="D9" s="76"/>
      <c r="E9" s="104">
        <f t="shared" si="1"/>
        <v>297321</v>
      </c>
      <c r="F9" s="76"/>
      <c r="G9" s="104">
        <f t="shared" si="0"/>
        <v>2515892</v>
      </c>
      <c r="H9" s="104">
        <f>+'[2]Link out'!F35+'[3]Link out'!F35+'[4]Link out'!F35</f>
        <v>2515892</v>
      </c>
      <c r="I9" s="104"/>
      <c r="J9" s="104"/>
      <c r="K9" s="104"/>
      <c r="L9" s="104">
        <f t="shared" si="2"/>
        <v>0</v>
      </c>
      <c r="M9" s="89"/>
      <c r="N9" s="43">
        <f>+'[2]Link out'!I35+'[3]Link out'!I35+'[4]Link out'!I35</f>
        <v>3095858</v>
      </c>
    </row>
    <row r="10" spans="1:14" x14ac:dyDescent="0.25">
      <c r="A10" s="3" t="s">
        <v>14</v>
      </c>
      <c r="B10" s="104">
        <f>+-ROUND('[1]Link Out Monthly BY'!R27,0)</f>
        <v>6057232</v>
      </c>
      <c r="C10" s="104">
        <f>+-ROUND('[1]Link Out Monthly BY'!R26,0)</f>
        <v>271611</v>
      </c>
      <c r="D10" s="76"/>
      <c r="E10" s="104">
        <f t="shared" si="1"/>
        <v>82246</v>
      </c>
      <c r="F10" s="76"/>
      <c r="G10" s="104">
        <f t="shared" si="0"/>
        <v>5703375</v>
      </c>
      <c r="H10" s="104">
        <f>+'[2]Link out'!F36+'[3]Link out'!F36+'[4]Link out'!F36</f>
        <v>5703375</v>
      </c>
      <c r="I10" s="104"/>
      <c r="J10" s="104"/>
      <c r="K10" s="104"/>
      <c r="L10" s="104">
        <f t="shared" si="2"/>
        <v>0</v>
      </c>
      <c r="M10" s="89"/>
      <c r="N10" s="43">
        <f>+'[2]Link out'!I36+'[3]Link out'!I36+'[4]Link out'!I36</f>
        <v>7123901</v>
      </c>
    </row>
    <row r="11" spans="1:14" x14ac:dyDescent="0.25">
      <c r="A11" s="3" t="s">
        <v>15</v>
      </c>
      <c r="B11" s="104">
        <f>+-ROUND('[1]Link Out Monthly BY'!R31,0)</f>
        <v>1937407</v>
      </c>
      <c r="C11" s="104">
        <f>+-ROUND('[1]Link Out Monthly BY'!R30,0)</f>
        <v>39606</v>
      </c>
      <c r="D11" s="76"/>
      <c r="E11" s="104">
        <f t="shared" si="1"/>
        <v>186711</v>
      </c>
      <c r="F11" s="76"/>
      <c r="G11" s="104">
        <f t="shared" si="0"/>
        <v>1711090</v>
      </c>
      <c r="H11" s="104">
        <f>+'[2]Link out'!F37+'[3]Link out'!F37+'[4]Link out'!F37</f>
        <v>1711090</v>
      </c>
      <c r="I11" s="104"/>
      <c r="J11" s="104"/>
      <c r="K11" s="104"/>
      <c r="L11" s="104">
        <f t="shared" si="2"/>
        <v>0</v>
      </c>
      <c r="M11" s="89"/>
      <c r="N11" s="43">
        <f>+'[2]Link out'!I37+'[3]Link out'!I37+'[4]Link out'!I37</f>
        <v>2078311</v>
      </c>
    </row>
    <row r="12" spans="1:14" x14ac:dyDescent="0.25">
      <c r="A12" s="3" t="s">
        <v>121</v>
      </c>
      <c r="B12" s="104">
        <f>+-ROUND('[1]Link Out Monthly BY'!R24,0)</f>
        <v>2812617</v>
      </c>
      <c r="C12" s="104">
        <f>+-ROUND('[1]Link Out Monthly BY'!R23,0)</f>
        <v>11165</v>
      </c>
      <c r="D12" s="76"/>
      <c r="E12" s="104">
        <f t="shared" si="1"/>
        <v>136731</v>
      </c>
      <c r="F12" s="76"/>
      <c r="G12" s="104">
        <f t="shared" si="0"/>
        <v>2664721</v>
      </c>
      <c r="H12" s="104">
        <f>+'[2]Link out'!F38+'[3]Link out'!F38+'[4]Link out'!F38</f>
        <v>2664721</v>
      </c>
      <c r="I12" s="104"/>
      <c r="J12" s="104"/>
      <c r="K12" s="104"/>
      <c r="L12" s="104">
        <f t="shared" si="2"/>
        <v>0</v>
      </c>
      <c r="M12" s="89"/>
      <c r="N12" s="43">
        <f>+'[2]Link out'!I38+'[3]Link out'!I38+'[4]Link out'!I38</f>
        <v>3011136</v>
      </c>
    </row>
    <row r="13" spans="1:14" x14ac:dyDescent="0.25">
      <c r="A13" s="8" t="s">
        <v>120</v>
      </c>
      <c r="B13" s="104">
        <f>+-ROUND('[1]Link Out Monthly BY'!R20,0)</f>
        <v>3807199</v>
      </c>
      <c r="C13" s="104">
        <f>+-ROUND('[1]Link Out Monthly BY'!R19,0)</f>
        <v>-6</v>
      </c>
      <c r="D13" s="76"/>
      <c r="E13" s="104">
        <f t="shared" si="1"/>
        <v>196095</v>
      </c>
      <c r="F13" s="76"/>
      <c r="G13" s="104">
        <f t="shared" si="0"/>
        <v>3611110</v>
      </c>
      <c r="H13" s="104">
        <f>+'[2]Link out'!F39+'[3]Link out'!F39+'[4]Link out'!F39</f>
        <v>3611110</v>
      </c>
      <c r="I13" s="104"/>
      <c r="J13" s="104"/>
      <c r="K13" s="104"/>
      <c r="L13" s="104">
        <f t="shared" si="2"/>
        <v>0</v>
      </c>
      <c r="M13" s="89"/>
      <c r="N13" s="43">
        <f>+'[2]Link out'!I39+'[3]Link out'!I39+'[4]Link out'!I39</f>
        <v>4449177</v>
      </c>
    </row>
    <row r="14" spans="1:14" x14ac:dyDescent="0.25">
      <c r="A14" s="8" t="s">
        <v>16</v>
      </c>
      <c r="B14" s="104">
        <f>+-ROUND('[1]Link Out Monthly BY'!R37,0)</f>
        <v>-1284149</v>
      </c>
      <c r="C14" s="104">
        <f>+-ROUND('[1]Link Out Monthly BY'!R34,0)</f>
        <v>-1430</v>
      </c>
      <c r="D14" s="76"/>
      <c r="E14" s="104">
        <f t="shared" si="1"/>
        <v>-1343000</v>
      </c>
      <c r="F14" s="76"/>
      <c r="G14" s="104">
        <f t="shared" si="0"/>
        <v>60281</v>
      </c>
      <c r="H14" s="104">
        <f>+'[2]Link out'!F40+'[3]Link out'!F40+'[4]Link out'!F40</f>
        <v>60281</v>
      </c>
      <c r="I14" s="104"/>
      <c r="J14" s="104"/>
      <c r="K14" s="104"/>
      <c r="L14" s="104">
        <f t="shared" si="2"/>
        <v>0</v>
      </c>
      <c r="M14" s="89"/>
      <c r="N14" s="43">
        <f>+'[2]Link out'!I40+'[3]Link out'!I40+'[4]Link out'!I40</f>
        <v>60281</v>
      </c>
    </row>
    <row r="15" spans="1:14" x14ac:dyDescent="0.25">
      <c r="A15" s="8"/>
      <c r="B15" s="104"/>
      <c r="C15" s="104"/>
      <c r="D15" s="76"/>
      <c r="E15" s="104"/>
      <c r="F15" s="76"/>
      <c r="G15" s="104"/>
      <c r="H15" s="104"/>
      <c r="I15" s="104"/>
      <c r="J15" s="104"/>
      <c r="K15" s="104"/>
      <c r="L15" s="104"/>
      <c r="M15" s="89"/>
      <c r="N15" s="43"/>
    </row>
    <row r="16" spans="1:14" x14ac:dyDescent="0.25">
      <c r="B16" s="76"/>
      <c r="C16" s="76"/>
      <c r="D16" s="76"/>
      <c r="E16" s="104"/>
      <c r="F16" s="76"/>
      <c r="G16" s="104"/>
      <c r="H16" s="104"/>
      <c r="I16" s="104"/>
      <c r="J16" s="104"/>
      <c r="K16" s="104"/>
      <c r="L16" s="104"/>
      <c r="M16" s="89"/>
    </row>
    <row r="17" spans="1:14" x14ac:dyDescent="0.25">
      <c r="B17" s="76"/>
      <c r="C17" s="76"/>
      <c r="D17" s="76"/>
      <c r="E17" s="104"/>
      <c r="F17" s="76"/>
      <c r="G17" s="104"/>
      <c r="H17" s="104"/>
      <c r="I17" s="104"/>
      <c r="J17" s="104"/>
      <c r="K17" s="104"/>
      <c r="L17" s="104"/>
      <c r="M17" s="89"/>
    </row>
    <row r="18" spans="1:14" x14ac:dyDescent="0.25">
      <c r="A18" t="s">
        <v>25</v>
      </c>
      <c r="B18" s="104">
        <f>SUM(B7:B15)</f>
        <v>88969907</v>
      </c>
      <c r="C18" s="104">
        <f>SUM(C7:C15)</f>
        <v>1192322</v>
      </c>
      <c r="D18" s="76"/>
      <c r="E18" s="104">
        <f>SUM(E7:E15)</f>
        <v>3481883</v>
      </c>
      <c r="F18" s="76"/>
      <c r="G18" s="104"/>
      <c r="H18" s="104">
        <f>SUM(H7:H15)</f>
        <v>84295702</v>
      </c>
      <c r="I18" s="104"/>
      <c r="J18" s="104"/>
      <c r="K18" s="104"/>
      <c r="L18" s="104">
        <f t="shared" ref="L18" si="3">SUM(L7:L17)</f>
        <v>0</v>
      </c>
      <c r="M18" s="91"/>
      <c r="N18" s="43">
        <f>SUM(N7:N17)</f>
        <v>103836072</v>
      </c>
    </row>
    <row r="19" spans="1:14" x14ac:dyDescent="0.25">
      <c r="B19" s="76"/>
      <c r="C19" s="76"/>
      <c r="D19" s="76"/>
      <c r="E19" s="76"/>
      <c r="F19" s="76"/>
      <c r="G19" s="104"/>
      <c r="H19" s="120"/>
      <c r="I19" s="104"/>
      <c r="J19" s="104"/>
      <c r="K19" s="104"/>
      <c r="L19" s="104"/>
      <c r="M19" s="89"/>
    </row>
    <row r="20" spans="1:14" x14ac:dyDescent="0.25">
      <c r="B20" s="76"/>
      <c r="C20" s="76"/>
      <c r="D20" s="76"/>
      <c r="E20" s="76"/>
      <c r="F20" s="76"/>
      <c r="G20" s="104"/>
      <c r="H20" s="120"/>
      <c r="I20" s="104"/>
      <c r="J20" s="104"/>
      <c r="K20" s="104"/>
      <c r="L20" s="104"/>
      <c r="M20" s="89"/>
    </row>
    <row r="21" spans="1:14" x14ac:dyDescent="0.25">
      <c r="A21" s="3"/>
      <c r="B21" s="121"/>
      <c r="C21" s="121"/>
      <c r="D21" s="121"/>
      <c r="E21" s="76"/>
      <c r="F21" s="76"/>
      <c r="G21" s="104"/>
      <c r="H21" s="104"/>
      <c r="I21" s="104"/>
      <c r="J21" s="104"/>
      <c r="K21" s="104"/>
      <c r="L21" s="104"/>
      <c r="M21" s="89"/>
    </row>
    <row r="22" spans="1:14" x14ac:dyDescent="0.25">
      <c r="A22" s="3"/>
      <c r="B22" s="121" t="s">
        <v>40</v>
      </c>
      <c r="C22" s="121" t="s">
        <v>1</v>
      </c>
      <c r="D22" s="121" t="s">
        <v>2</v>
      </c>
      <c r="E22" s="76"/>
      <c r="F22" s="76"/>
      <c r="G22" s="104"/>
      <c r="H22" s="104"/>
      <c r="I22" s="104"/>
      <c r="J22" s="104"/>
      <c r="K22" s="104"/>
      <c r="L22" s="104"/>
      <c r="M22" s="89"/>
    </row>
    <row r="23" spans="1:14" x14ac:dyDescent="0.25">
      <c r="A23" s="3"/>
      <c r="B23" s="122" t="s">
        <v>8</v>
      </c>
      <c r="C23" s="122" t="s">
        <v>8</v>
      </c>
      <c r="D23" s="122" t="s">
        <v>32</v>
      </c>
      <c r="E23" s="76"/>
      <c r="F23" s="76"/>
      <c r="G23" s="76"/>
      <c r="H23" s="76"/>
      <c r="I23" s="76"/>
      <c r="J23" s="76"/>
      <c r="K23" s="76"/>
      <c r="L23" s="76"/>
    </row>
    <row r="24" spans="1:14" x14ac:dyDescent="0.25">
      <c r="A24" s="72" t="s">
        <v>41</v>
      </c>
      <c r="B24" s="123">
        <v>0</v>
      </c>
      <c r="C24" s="123">
        <f>ROUND('[5]Link Out'!C11,0)</f>
        <v>0</v>
      </c>
      <c r="D24" s="123">
        <f>+ROUND('[5]Link Out'!E11,0)</f>
        <v>0</v>
      </c>
      <c r="E24" s="76"/>
      <c r="F24" s="76"/>
      <c r="G24" s="76"/>
      <c r="H24" s="76"/>
      <c r="I24" s="76"/>
      <c r="J24" s="76"/>
      <c r="K24" s="76"/>
      <c r="L24" s="76"/>
    </row>
    <row r="25" spans="1:14" x14ac:dyDescent="0.25">
      <c r="A25" s="72" t="s">
        <v>42</v>
      </c>
      <c r="B25" s="123">
        <f>+-ROUND('[1]Link Out Monthly BY'!R38,0)</f>
        <v>837881</v>
      </c>
      <c r="C25" s="123">
        <f>ROUND('[5]Link Out'!C12,0)</f>
        <v>773574</v>
      </c>
      <c r="D25" s="123">
        <f>+ROUND('[5]Link Out'!E12,0)</f>
        <v>0</v>
      </c>
      <c r="E25" s="76"/>
      <c r="F25" s="76"/>
      <c r="G25" s="76"/>
      <c r="H25" s="76"/>
      <c r="I25" s="76"/>
      <c r="J25" s="76"/>
      <c r="K25" s="76"/>
      <c r="L25" s="76"/>
    </row>
    <row r="26" spans="1:14" x14ac:dyDescent="0.25">
      <c r="A26" s="72" t="s">
        <v>43</v>
      </c>
      <c r="B26" s="123">
        <f>+-ROUND('[1]Link Out Monthly BY'!R39,0)</f>
        <v>95656</v>
      </c>
      <c r="C26" s="123">
        <f>ROUND('[5]Link Out'!C13,0)</f>
        <v>96878</v>
      </c>
      <c r="D26" s="123">
        <f>+ROUND('[5]Link Out'!E13,0)</f>
        <v>0</v>
      </c>
      <c r="E26" s="76"/>
      <c r="F26" s="76"/>
      <c r="G26" s="76"/>
      <c r="H26" s="76"/>
      <c r="I26" s="76"/>
      <c r="J26" s="76"/>
      <c r="K26" s="76"/>
      <c r="L26" s="76"/>
    </row>
    <row r="27" spans="1:14" x14ac:dyDescent="0.25">
      <c r="A27" s="72" t="s">
        <v>44</v>
      </c>
      <c r="B27" s="123">
        <f>+-ROUND('[1]Link Out Monthly BY'!R40,0)</f>
        <v>154932</v>
      </c>
      <c r="C27" s="123">
        <f>ROUND('[5]Link Out'!C14,0)</f>
        <v>154930</v>
      </c>
      <c r="D27" s="123">
        <f>+ROUND('[5]Link Out'!E14,0)</f>
        <v>0</v>
      </c>
      <c r="E27" s="76"/>
      <c r="F27" s="76"/>
      <c r="G27" s="76"/>
      <c r="H27" s="76"/>
      <c r="I27" s="76"/>
      <c r="J27" s="76"/>
      <c r="K27" s="76"/>
      <c r="L27" s="76"/>
    </row>
    <row r="28" spans="1:14" x14ac:dyDescent="0.25">
      <c r="A28" s="101" t="s">
        <v>45</v>
      </c>
      <c r="B28" s="123">
        <f>+-ROUND('[1]Link Out Monthly BY'!R41,0)</f>
        <v>0</v>
      </c>
      <c r="C28" s="123">
        <f>ROUND('[5]Link Out'!C15,0)</f>
        <v>0</v>
      </c>
      <c r="D28" s="123">
        <f>+ROUND('[5]Link Out'!E15,0)</f>
        <v>0</v>
      </c>
      <c r="E28" s="76"/>
      <c r="F28" s="76"/>
      <c r="G28" s="76"/>
      <c r="H28" s="76"/>
      <c r="I28" s="76"/>
      <c r="J28" s="76"/>
      <c r="K28" s="76"/>
      <c r="L28" s="76"/>
    </row>
    <row r="29" spans="1:14" x14ac:dyDescent="0.25">
      <c r="A29" s="72" t="s">
        <v>46</v>
      </c>
      <c r="B29" s="123">
        <f>+-ROUND('[1]Link Out Monthly BY'!R42,0)</f>
        <v>30420</v>
      </c>
      <c r="C29" s="123">
        <f>ROUND('[5]Link Out'!C16,0)</f>
        <v>30840</v>
      </c>
      <c r="D29" s="123">
        <f>+ROUND('[5]Link Out'!E16,0)</f>
        <v>0</v>
      </c>
      <c r="E29" s="76"/>
      <c r="F29" s="76"/>
      <c r="G29" s="76"/>
      <c r="H29" s="76"/>
      <c r="I29" s="76"/>
      <c r="J29" s="76"/>
      <c r="K29" s="76"/>
      <c r="L29" s="76"/>
    </row>
    <row r="30" spans="1:14" x14ac:dyDescent="0.25">
      <c r="A30" s="72" t="s">
        <v>47</v>
      </c>
      <c r="B30" s="123">
        <f>+-ROUND('[1]Link Out Monthly BY'!R43,0)</f>
        <v>776520</v>
      </c>
      <c r="C30" s="123">
        <f>ROUND('[5]Link Out'!C17,0)</f>
        <v>765681</v>
      </c>
      <c r="D30" s="123">
        <f>+ROUND('[5]Link Out'!E17,0)</f>
        <v>0</v>
      </c>
      <c r="E30" s="76"/>
      <c r="F30" s="76"/>
      <c r="G30" s="76"/>
      <c r="H30" s="76"/>
      <c r="I30" s="76"/>
      <c r="J30" s="76"/>
      <c r="K30" s="76"/>
      <c r="L30" s="76"/>
    </row>
    <row r="31" spans="1:14" x14ac:dyDescent="0.25">
      <c r="A31" s="101" t="s">
        <v>48</v>
      </c>
      <c r="B31" s="123">
        <f>+-ROUND('[1]Link Out Monthly BY'!R44,0)</f>
        <v>51797</v>
      </c>
      <c r="C31" s="123">
        <f>ROUND('[5]Link Out'!C18,0)</f>
        <v>51538</v>
      </c>
      <c r="D31" s="123">
        <f>+ROUND('[5]Link Out'!E18,0)</f>
        <v>0</v>
      </c>
      <c r="E31" s="76"/>
      <c r="F31" s="76"/>
      <c r="G31" s="76"/>
      <c r="H31" s="76"/>
      <c r="I31" s="76"/>
      <c r="J31" s="76"/>
      <c r="K31" s="76"/>
      <c r="L31" s="76"/>
    </row>
    <row r="32" spans="1:14" x14ac:dyDescent="0.25">
      <c r="A32" s="72" t="s">
        <v>49</v>
      </c>
      <c r="B32" s="123">
        <f>+-ROUND('[1]Link Out Monthly BY'!R45,0)</f>
        <v>573394</v>
      </c>
      <c r="C32" s="123">
        <f>ROUND('[5]Link Out'!C19,0)</f>
        <v>598864</v>
      </c>
      <c r="D32" s="123">
        <f>+ROUND('[5]Link Out'!E19,0)</f>
        <v>0</v>
      </c>
      <c r="E32" s="76"/>
      <c r="F32" s="76"/>
      <c r="G32" s="76"/>
      <c r="H32" s="76"/>
      <c r="I32" s="76"/>
      <c r="J32" s="76"/>
      <c r="K32" s="76"/>
      <c r="L32" s="76"/>
    </row>
    <row r="33" spans="1:12" x14ac:dyDescent="0.25">
      <c r="A33" s="72" t="s">
        <v>50</v>
      </c>
      <c r="B33" s="123">
        <f>+-ROUND('[1]Link Out Monthly BY'!R47,0)</f>
        <v>165</v>
      </c>
      <c r="C33" s="123">
        <f>ROUND('[5]Link Out'!C20,0)</f>
        <v>0</v>
      </c>
      <c r="D33" s="123">
        <f>+ROUND('[5]Link Out'!E20,0)</f>
        <v>0</v>
      </c>
      <c r="E33" s="76"/>
      <c r="F33" s="76"/>
      <c r="G33" s="76"/>
      <c r="H33" s="76"/>
      <c r="I33" s="76"/>
      <c r="J33" s="76"/>
      <c r="K33" s="76"/>
      <c r="L33" s="76"/>
    </row>
    <row r="34" spans="1:12" x14ac:dyDescent="0.25">
      <c r="A34" s="101" t="s">
        <v>51</v>
      </c>
      <c r="B34" s="123"/>
      <c r="C34" s="123">
        <f>ROUND('[5]Link Out'!C21,0)</f>
        <v>0</v>
      </c>
      <c r="D34" s="123">
        <f>+ROUND('[5]Link Out'!E21,0)</f>
        <v>0</v>
      </c>
      <c r="E34" s="76"/>
      <c r="F34" s="76"/>
      <c r="G34" s="76"/>
      <c r="H34" s="76"/>
      <c r="I34" s="76"/>
      <c r="J34" s="76"/>
      <c r="K34" s="76"/>
      <c r="L34" s="76"/>
    </row>
    <row r="35" spans="1:12" x14ac:dyDescent="0.2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x14ac:dyDescent="0.25">
      <c r="A36" s="13" t="s">
        <v>25</v>
      </c>
      <c r="B36" s="76">
        <f>SUM(B24:B34)</f>
        <v>2520765</v>
      </c>
      <c r="C36" s="76">
        <f>SUM(C24:C34)</f>
        <v>2472305</v>
      </c>
      <c r="D36" s="76">
        <f>SUM(D24:D34)</f>
        <v>0</v>
      </c>
      <c r="E36" s="76"/>
      <c r="F36" s="76"/>
      <c r="G36" s="76"/>
      <c r="H36" s="76"/>
      <c r="I36" s="76"/>
      <c r="J36" s="76"/>
      <c r="K36" s="76"/>
      <c r="L36" s="76"/>
    </row>
    <row r="37" spans="1:12" x14ac:dyDescent="0.2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x14ac:dyDescent="0.25">
      <c r="B38" s="13"/>
    </row>
    <row r="41" spans="1:12" x14ac:dyDescent="0.25">
      <c r="A41" s="78"/>
      <c r="B41" s="81"/>
    </row>
    <row r="42" spans="1:12" x14ac:dyDescent="0.25">
      <c r="A42" s="78"/>
      <c r="B42" s="81"/>
    </row>
    <row r="43" spans="1:12" x14ac:dyDescent="0.25">
      <c r="A43" s="78"/>
      <c r="B43" s="81"/>
    </row>
    <row r="44" spans="1:12" x14ac:dyDescent="0.25">
      <c r="A44" s="78"/>
      <c r="B44" s="81"/>
    </row>
    <row r="45" spans="1:12" x14ac:dyDescent="0.25">
      <c r="A45" s="78"/>
      <c r="B45" s="81"/>
    </row>
    <row r="46" spans="1:12" x14ac:dyDescent="0.25">
      <c r="A46" s="78"/>
      <c r="B46" s="76"/>
    </row>
    <row r="47" spans="1:12" x14ac:dyDescent="0.25">
      <c r="A47" s="78"/>
      <c r="B47" s="76"/>
    </row>
    <row r="48" spans="1:12" x14ac:dyDescent="0.25">
      <c r="A48" s="79"/>
      <c r="B48" s="76"/>
    </row>
    <row r="53" spans="1:1" x14ac:dyDescent="0.25">
      <c r="A53" t="s">
        <v>133</v>
      </c>
    </row>
    <row r="54" spans="1:1" x14ac:dyDescent="0.25">
      <c r="A54" s="104" t="str">
        <f ca="1">'[6]Link out'!$A$78</f>
        <v>Discovery\PSC\Support\PSCDR2_NUM011\[KAWC 2018 Rate Case - Revenue DR11.xlsx]Sch M</v>
      </c>
    </row>
    <row r="55" spans="1:1" x14ac:dyDescent="0.25">
      <c r="A55" t="str">
        <f>'[1]Rate Case Constants'!$C$39</f>
        <v>Witness Responsible:   Melissa Schwarzell</v>
      </c>
    </row>
  </sheetData>
  <pageMargins left="0.7" right="0.7" top="0.75" bottom="0.75" header="0.3" footer="0.3"/>
  <pageSetup scale="80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01"/>
  <sheetViews>
    <sheetView workbookViewId="0">
      <selection activeCell="E14" sqref="E14"/>
    </sheetView>
  </sheetViews>
  <sheetFormatPr defaultRowHeight="15" x14ac:dyDescent="0.25"/>
  <cols>
    <col min="1" max="1" width="18.5703125" customWidth="1"/>
    <col min="3" max="3" width="12.5703125" bestFit="1" customWidth="1"/>
    <col min="4" max="4" width="12.140625" customWidth="1"/>
    <col min="5" max="5" width="13.7109375" style="20" customWidth="1"/>
    <col min="6" max="6" width="14.7109375" style="20" customWidth="1"/>
    <col min="7" max="7" width="12.7109375" customWidth="1"/>
    <col min="8" max="10" width="9.140625" style="20"/>
    <col min="11" max="11" width="13.140625" bestFit="1" customWidth="1"/>
    <col min="12" max="14" width="9.140625" style="20"/>
    <col min="15" max="15" width="14.85546875" bestFit="1" customWidth="1"/>
    <col min="16" max="16" width="9.140625" style="20"/>
    <col min="17" max="17" width="11.5703125" style="20" customWidth="1"/>
  </cols>
  <sheetData>
    <row r="4" spans="1:17" x14ac:dyDescent="0.25">
      <c r="O4" s="20"/>
    </row>
    <row r="5" spans="1:17" x14ac:dyDescent="0.25">
      <c r="A5" s="28"/>
      <c r="B5" s="28"/>
      <c r="C5" s="29" t="s">
        <v>33</v>
      </c>
      <c r="D5" s="29"/>
      <c r="E5" s="30"/>
      <c r="F5" s="30"/>
      <c r="G5" s="29" t="s">
        <v>86</v>
      </c>
      <c r="H5" s="30"/>
      <c r="I5" s="30"/>
      <c r="J5" s="30"/>
      <c r="K5" s="29" t="s">
        <v>86</v>
      </c>
      <c r="L5" s="30"/>
      <c r="M5" s="41"/>
      <c r="N5" s="41"/>
      <c r="O5" s="30"/>
      <c r="P5" s="30"/>
      <c r="Q5" s="30"/>
    </row>
    <row r="6" spans="1:17" x14ac:dyDescent="0.25">
      <c r="A6" s="28"/>
      <c r="B6" s="28"/>
      <c r="C6" s="29" t="s">
        <v>34</v>
      </c>
      <c r="D6" s="29"/>
      <c r="E6" s="30"/>
      <c r="F6" s="30"/>
      <c r="G6" s="29" t="s">
        <v>90</v>
      </c>
      <c r="H6" s="30"/>
      <c r="I6" s="30"/>
      <c r="J6" s="30"/>
      <c r="K6" s="29" t="s">
        <v>91</v>
      </c>
      <c r="L6" s="30"/>
      <c r="M6" s="30"/>
      <c r="N6" s="41"/>
      <c r="O6" s="30"/>
      <c r="P6" s="30"/>
      <c r="Q6" s="30"/>
    </row>
    <row r="7" spans="1:17" x14ac:dyDescent="0.25">
      <c r="A7" s="31" t="s">
        <v>7</v>
      </c>
      <c r="B7" s="31"/>
      <c r="C7" s="31" t="s">
        <v>35</v>
      </c>
      <c r="D7" s="31"/>
      <c r="E7" s="42"/>
      <c r="F7" s="42"/>
      <c r="G7" s="31" t="s">
        <v>2</v>
      </c>
      <c r="H7" s="30"/>
      <c r="I7" s="30"/>
      <c r="J7" s="30"/>
      <c r="K7" s="31" t="s">
        <v>2</v>
      </c>
      <c r="L7" s="30"/>
      <c r="M7" s="30"/>
      <c r="N7" s="41"/>
      <c r="O7" s="30"/>
      <c r="P7" s="30"/>
      <c r="Q7" s="30"/>
    </row>
    <row r="8" spans="1:17" x14ac:dyDescent="0.25">
      <c r="A8" s="32"/>
      <c r="B8" s="32"/>
      <c r="C8" s="33"/>
      <c r="D8" s="33"/>
      <c r="E8" s="40"/>
      <c r="F8" s="40"/>
      <c r="G8" s="34"/>
      <c r="H8" s="40"/>
      <c r="I8" s="40"/>
      <c r="J8" s="40"/>
      <c r="K8" s="35"/>
      <c r="L8" s="35"/>
      <c r="M8" s="40"/>
      <c r="N8" s="40"/>
      <c r="O8" s="35"/>
      <c r="P8" s="35"/>
      <c r="Q8" s="40"/>
    </row>
    <row r="9" spans="1:17" ht="15.75" thickBot="1" x14ac:dyDescent="0.3">
      <c r="A9" s="36" t="s">
        <v>88</v>
      </c>
      <c r="B9" s="36"/>
      <c r="C9" s="37"/>
      <c r="D9" s="37"/>
      <c r="E9" s="39"/>
      <c r="F9" s="39"/>
      <c r="G9" s="38">
        <f>Exhibit!E26</f>
        <v>-4674205</v>
      </c>
      <c r="H9" s="40"/>
      <c r="I9" s="39"/>
      <c r="J9" s="40"/>
      <c r="K9" s="38">
        <f>Exhibit!G26</f>
        <v>19540370</v>
      </c>
      <c r="L9" s="40"/>
      <c r="M9" s="39"/>
      <c r="N9" s="40"/>
      <c r="O9" s="39"/>
      <c r="P9" s="40"/>
      <c r="Q9" s="39"/>
    </row>
    <row r="10" spans="1:17" ht="15.75" thickTop="1" x14ac:dyDescent="0.25">
      <c r="O10" s="20"/>
    </row>
    <row r="11" spans="1:17" ht="15.75" thickBot="1" x14ac:dyDescent="0.3">
      <c r="A11" s="36" t="s">
        <v>89</v>
      </c>
      <c r="G11" s="38">
        <f>Exhibit!E41</f>
        <v>-48460</v>
      </c>
      <c r="H11" s="40"/>
      <c r="I11" s="39"/>
      <c r="J11" s="40"/>
      <c r="K11" s="38">
        <f>Exhibit!G41</f>
        <v>0</v>
      </c>
      <c r="L11" s="40"/>
      <c r="M11" s="39"/>
      <c r="N11" s="40"/>
      <c r="O11" s="39"/>
    </row>
    <row r="12" spans="1:17" ht="15.75" thickTop="1" x14ac:dyDescent="0.25">
      <c r="O12" s="20"/>
    </row>
    <row r="13" spans="1:17" x14ac:dyDescent="0.25">
      <c r="O13" s="20"/>
    </row>
    <row r="14" spans="1:17" x14ac:dyDescent="0.25">
      <c r="O14" s="20"/>
    </row>
    <row r="17" spans="1:7" x14ac:dyDescent="0.25">
      <c r="A17" s="84" t="s">
        <v>98</v>
      </c>
    </row>
    <row r="18" spans="1:7" x14ac:dyDescent="0.25">
      <c r="A18" s="86" t="s">
        <v>104</v>
      </c>
      <c r="G18" s="76">
        <f>-'Operating Revenues'!D16</f>
        <v>2600055</v>
      </c>
    </row>
    <row r="19" spans="1:7" x14ac:dyDescent="0.25">
      <c r="A19" s="86" t="s">
        <v>105</v>
      </c>
      <c r="G19" s="76">
        <f>-'Operating Revenues'!D17</f>
        <v>416113</v>
      </c>
    </row>
    <row r="20" spans="1:7" x14ac:dyDescent="0.25">
      <c r="A20" s="86" t="s">
        <v>106</v>
      </c>
      <c r="G20" s="76">
        <f>-'Operating Revenues'!E16</f>
        <v>1325724</v>
      </c>
    </row>
    <row r="21" spans="1:7" x14ac:dyDescent="0.25">
      <c r="A21" s="86" t="s">
        <v>107</v>
      </c>
      <c r="G21" s="76">
        <f>-'Operating Revenues'!E17</f>
        <v>427146</v>
      </c>
    </row>
    <row r="22" spans="1:7" x14ac:dyDescent="0.25">
      <c r="A22" s="86" t="s">
        <v>108</v>
      </c>
      <c r="G22" s="76">
        <f>-'Operating Revenues'!F16</f>
        <v>297321</v>
      </c>
    </row>
    <row r="23" spans="1:7" x14ac:dyDescent="0.25">
      <c r="A23" s="86" t="s">
        <v>109</v>
      </c>
      <c r="G23" s="76">
        <f>-'Operating Revenues'!F17</f>
        <v>28117</v>
      </c>
    </row>
    <row r="24" spans="1:7" x14ac:dyDescent="0.25">
      <c r="A24" s="86" t="s">
        <v>110</v>
      </c>
      <c r="G24" s="76">
        <f>-'Operating Revenues'!E29</f>
        <v>196095</v>
      </c>
    </row>
    <row r="25" spans="1:7" x14ac:dyDescent="0.25">
      <c r="A25" s="86" t="s">
        <v>138</v>
      </c>
      <c r="G25" s="76">
        <f>-'Operating Revenues'!E30</f>
        <v>-6</v>
      </c>
    </row>
    <row r="26" spans="1:7" x14ac:dyDescent="0.25">
      <c r="A26" s="86" t="s">
        <v>111</v>
      </c>
      <c r="G26" s="76">
        <f>-'Operating Revenues'!D29</f>
        <v>136731</v>
      </c>
    </row>
    <row r="27" spans="1:7" x14ac:dyDescent="0.25">
      <c r="A27" s="86" t="s">
        <v>135</v>
      </c>
      <c r="G27" s="76">
        <f>-'Operating Revenues'!D30</f>
        <v>11165</v>
      </c>
    </row>
    <row r="28" spans="1:7" x14ac:dyDescent="0.25">
      <c r="A28" s="86" t="s">
        <v>112</v>
      </c>
      <c r="G28" s="76">
        <f>-'Operating Revenues'!G16</f>
        <v>82246</v>
      </c>
    </row>
    <row r="29" spans="1:7" x14ac:dyDescent="0.25">
      <c r="A29" s="86" t="s">
        <v>113</v>
      </c>
      <c r="G29" s="76">
        <f>-'Operating Revenues'!G17</f>
        <v>271611</v>
      </c>
    </row>
    <row r="30" spans="1:7" x14ac:dyDescent="0.25">
      <c r="A30" s="86" t="s">
        <v>114</v>
      </c>
      <c r="G30" s="76">
        <f>-'Operating Revenues'!H16</f>
        <v>186711</v>
      </c>
    </row>
    <row r="31" spans="1:7" x14ac:dyDescent="0.25">
      <c r="A31" s="86" t="s">
        <v>115</v>
      </c>
      <c r="G31" s="76">
        <f>-'Operating Revenues'!H18</f>
        <v>0</v>
      </c>
    </row>
    <row r="32" spans="1:7" x14ac:dyDescent="0.25">
      <c r="A32" s="86" t="s">
        <v>116</v>
      </c>
      <c r="G32" s="76">
        <f>-'Operating Revenues'!H17</f>
        <v>39606</v>
      </c>
    </row>
    <row r="33" spans="1:7" x14ac:dyDescent="0.25">
      <c r="A33" s="88" t="s">
        <v>117</v>
      </c>
      <c r="B33" s="89"/>
      <c r="C33" s="89"/>
      <c r="D33" s="89"/>
      <c r="E33" s="90"/>
      <c r="F33" s="90"/>
      <c r="G33" s="104">
        <f>-'Operating Revenues'!F29</f>
        <v>-1343000</v>
      </c>
    </row>
    <row r="34" spans="1:7" x14ac:dyDescent="0.25">
      <c r="A34" s="88" t="s">
        <v>134</v>
      </c>
      <c r="B34" s="89"/>
      <c r="C34" s="89"/>
      <c r="D34" s="89"/>
      <c r="E34" s="90"/>
      <c r="F34" s="90"/>
      <c r="G34" s="76">
        <f>-'Operating Revenues'!F30</f>
        <v>-1430</v>
      </c>
    </row>
    <row r="35" spans="1:7" x14ac:dyDescent="0.25">
      <c r="A35" s="88" t="s">
        <v>41</v>
      </c>
      <c r="B35" s="89"/>
      <c r="C35" s="89"/>
      <c r="D35" s="89"/>
      <c r="E35" s="90"/>
      <c r="F35" s="90"/>
      <c r="G35" s="104">
        <f>-'Operating Revenues'!G29</f>
        <v>0</v>
      </c>
    </row>
    <row r="36" spans="1:7" x14ac:dyDescent="0.25">
      <c r="A36" s="83"/>
      <c r="G36" s="76">
        <f>SUM(G18:G35)</f>
        <v>4674205</v>
      </c>
    </row>
    <row r="37" spans="1:7" x14ac:dyDescent="0.25">
      <c r="A37" s="83"/>
      <c r="G37" s="13"/>
    </row>
    <row r="38" spans="1:7" x14ac:dyDescent="0.25">
      <c r="A38" s="83"/>
      <c r="G38" s="13"/>
    </row>
    <row r="39" spans="1:7" x14ac:dyDescent="0.25">
      <c r="A39" s="83"/>
      <c r="G39" s="13"/>
    </row>
    <row r="40" spans="1:7" x14ac:dyDescent="0.25">
      <c r="A40" s="83"/>
      <c r="G40" s="13"/>
    </row>
    <row r="41" spans="1:7" x14ac:dyDescent="0.25">
      <c r="A41" s="83"/>
      <c r="G41" s="13"/>
    </row>
    <row r="42" spans="1:7" x14ac:dyDescent="0.25">
      <c r="A42" s="83"/>
      <c r="G42" s="13"/>
    </row>
    <row r="43" spans="1:7" x14ac:dyDescent="0.25">
      <c r="A43" s="83"/>
      <c r="G43" s="13"/>
    </row>
    <row r="44" spans="1:7" x14ac:dyDescent="0.25">
      <c r="A44" s="83"/>
      <c r="G44" s="13"/>
    </row>
    <row r="45" spans="1:7" x14ac:dyDescent="0.25">
      <c r="A45" s="83"/>
      <c r="G45" s="13"/>
    </row>
    <row r="46" spans="1:7" x14ac:dyDescent="0.25">
      <c r="A46" s="83"/>
      <c r="G46" s="13"/>
    </row>
    <row r="47" spans="1:7" x14ac:dyDescent="0.25">
      <c r="A47" s="83"/>
      <c r="G47" s="13"/>
    </row>
    <row r="48" spans="1:7" x14ac:dyDescent="0.25">
      <c r="A48" s="83" t="str">
        <f>Exhibit!B29</f>
        <v>Other Operating Revenues</v>
      </c>
      <c r="G48" s="13"/>
    </row>
    <row r="49" spans="1:7" x14ac:dyDescent="0.25">
      <c r="A49" s="83"/>
      <c r="B49" s="20"/>
      <c r="C49" s="124"/>
      <c r="D49" s="124"/>
      <c r="E49" s="124"/>
      <c r="F49" s="124"/>
      <c r="G49" s="124"/>
    </row>
    <row r="50" spans="1:7" x14ac:dyDescent="0.25">
      <c r="A50" s="83" t="str">
        <f>Exhibit!B31</f>
        <v>Late Payment Fee</v>
      </c>
      <c r="C50" s="76"/>
      <c r="D50" s="76"/>
      <c r="E50" s="124"/>
      <c r="F50" s="124"/>
      <c r="G50" s="76">
        <f>-Exhibit!E31</f>
        <v>64307</v>
      </c>
    </row>
    <row r="51" spans="1:7" x14ac:dyDescent="0.25">
      <c r="A51" s="83" t="str">
        <f>Exhibit!B32</f>
        <v>Rent</v>
      </c>
      <c r="C51" s="76"/>
      <c r="D51" s="76"/>
      <c r="E51" s="124"/>
      <c r="F51" s="124"/>
      <c r="G51" s="76">
        <f>-Exhibit!E32</f>
        <v>-1222</v>
      </c>
    </row>
    <row r="52" spans="1:7" x14ac:dyDescent="0.25">
      <c r="A52" s="83" t="str">
        <f>Exhibit!B33</f>
        <v>Rent I/C</v>
      </c>
      <c r="C52" s="76"/>
      <c r="D52" s="76"/>
      <c r="E52" s="124"/>
      <c r="F52" s="124"/>
      <c r="G52" s="76">
        <f>-Exhibit!E33</f>
        <v>2</v>
      </c>
    </row>
    <row r="53" spans="1:7" x14ac:dyDescent="0.25">
      <c r="A53" s="83" t="str">
        <f>Exhibit!B34</f>
        <v>Collect for Others</v>
      </c>
      <c r="C53" s="76"/>
      <c r="D53" s="76"/>
      <c r="E53" s="124"/>
      <c r="F53" s="124"/>
      <c r="G53" s="76">
        <f>-Exhibit!E34</f>
        <v>0</v>
      </c>
    </row>
    <row r="54" spans="1:7" x14ac:dyDescent="0.25">
      <c r="A54" s="83" t="str">
        <f>Exhibit!B35</f>
        <v>NSF Check Charge</v>
      </c>
      <c r="C54" s="76"/>
      <c r="D54" s="76"/>
      <c r="E54" s="124"/>
      <c r="F54" s="124"/>
      <c r="G54" s="76">
        <f>-Exhibit!E35</f>
        <v>-420</v>
      </c>
    </row>
    <row r="55" spans="1:7" x14ac:dyDescent="0.25">
      <c r="A55" s="83" t="str">
        <f>Exhibit!B36</f>
        <v>Application/Initiation Fee</v>
      </c>
      <c r="C55" s="76"/>
      <c r="D55" s="76"/>
      <c r="E55" s="124"/>
      <c r="F55" s="124"/>
      <c r="G55" s="76">
        <f>-Exhibit!E36</f>
        <v>10839</v>
      </c>
    </row>
    <row r="56" spans="1:7" x14ac:dyDescent="0.25">
      <c r="A56" s="83" t="str">
        <f>Exhibit!B37</f>
        <v>Usage Data</v>
      </c>
      <c r="C56" s="76"/>
      <c r="D56" s="76"/>
      <c r="E56" s="124"/>
      <c r="F56" s="124"/>
      <c r="G56" s="76">
        <f>-Exhibit!E37</f>
        <v>259</v>
      </c>
    </row>
    <row r="57" spans="1:7" x14ac:dyDescent="0.25">
      <c r="A57" s="83" t="str">
        <f>Exhibit!B38</f>
        <v>Reconnect Fee</v>
      </c>
      <c r="C57" s="76"/>
      <c r="D57" s="76"/>
      <c r="E57" s="124"/>
      <c r="F57" s="124"/>
      <c r="G57" s="76">
        <f>-Exhibit!E38</f>
        <v>-25470</v>
      </c>
    </row>
    <row r="58" spans="1:7" x14ac:dyDescent="0.25">
      <c r="A58" s="83" t="str">
        <f>Exhibit!B39</f>
        <v>Miscellaneous Service</v>
      </c>
      <c r="C58" s="76"/>
      <c r="D58" s="76"/>
      <c r="E58" s="124"/>
      <c r="F58" s="124"/>
      <c r="G58" s="76">
        <f>-Exhibit!E39</f>
        <v>165</v>
      </c>
    </row>
    <row r="59" spans="1:7" x14ac:dyDescent="0.25">
      <c r="A59" s="83" t="str">
        <f>Exhibit!B40</f>
        <v>WW-Miscellaneous Service</v>
      </c>
      <c r="C59" s="76"/>
      <c r="D59" s="76"/>
      <c r="E59" s="124"/>
      <c r="F59" s="124"/>
      <c r="G59" s="76">
        <f>-Exhibit!E40</f>
        <v>0</v>
      </c>
    </row>
    <row r="60" spans="1:7" x14ac:dyDescent="0.25">
      <c r="A60" s="83" t="str">
        <f>Exhibit!B41</f>
        <v>Total Other Operating Revenues</v>
      </c>
      <c r="C60" s="76"/>
      <c r="D60" s="76"/>
      <c r="E60" s="124"/>
      <c r="F60" s="124"/>
      <c r="G60" s="76">
        <f>SUM(G49:G59)</f>
        <v>48460</v>
      </c>
    </row>
    <row r="61" spans="1:7" x14ac:dyDescent="0.25">
      <c r="A61" s="83"/>
      <c r="C61" s="76"/>
      <c r="D61" s="76"/>
      <c r="E61" s="124"/>
      <c r="F61" s="124"/>
      <c r="G61" s="76"/>
    </row>
    <row r="62" spans="1:7" x14ac:dyDescent="0.25">
      <c r="C62" s="76"/>
      <c r="D62" s="76"/>
      <c r="E62" s="124"/>
      <c r="F62" s="124"/>
      <c r="G62" s="76"/>
    </row>
    <row r="63" spans="1:7" ht="45" x14ac:dyDescent="0.25">
      <c r="A63" t="s">
        <v>122</v>
      </c>
      <c r="C63" s="76" t="s">
        <v>123</v>
      </c>
      <c r="D63" s="125" t="s">
        <v>124</v>
      </c>
      <c r="E63" s="126" t="s">
        <v>125</v>
      </c>
      <c r="F63" s="127" t="s">
        <v>126</v>
      </c>
      <c r="G63" s="125" t="s">
        <v>87</v>
      </c>
    </row>
    <row r="64" spans="1:7" x14ac:dyDescent="0.25">
      <c r="C64" s="76"/>
      <c r="D64" s="76"/>
      <c r="E64" s="128"/>
      <c r="F64" s="124"/>
      <c r="G64" s="76"/>
    </row>
    <row r="65" spans="1:7" x14ac:dyDescent="0.25">
      <c r="A65" s="83" t="str">
        <f>Exhibit!B16</f>
        <v>Sales of Water</v>
      </c>
      <c r="C65" s="76"/>
      <c r="D65" s="76"/>
      <c r="E65" s="129"/>
      <c r="F65" s="124"/>
      <c r="G65" s="76"/>
    </row>
    <row r="66" spans="1:7" x14ac:dyDescent="0.25">
      <c r="A66" s="83" t="str">
        <f>Exhibit!B17</f>
        <v xml:space="preserve">  Residential</v>
      </c>
      <c r="C66" s="76">
        <f>Exhibit!D17</f>
        <v>49884345</v>
      </c>
      <c r="D66" s="76">
        <f>Exhibit!E17</f>
        <v>-3016168</v>
      </c>
      <c r="E66" s="124">
        <f>Exhibit!F17</f>
        <v>46868177</v>
      </c>
      <c r="F66" s="124">
        <f>Exhibit!G17</f>
        <v>10732252</v>
      </c>
      <c r="G66" s="76">
        <f>Exhibit!H17</f>
        <v>57600429</v>
      </c>
    </row>
    <row r="67" spans="1:7" x14ac:dyDescent="0.25">
      <c r="A67" s="83" t="str">
        <f>Exhibit!B18</f>
        <v xml:space="preserve">  Commercial</v>
      </c>
      <c r="C67" s="76">
        <f>Exhibit!D18</f>
        <v>22913926</v>
      </c>
      <c r="D67" s="76">
        <f>Exhibit!E18</f>
        <v>-1752870</v>
      </c>
      <c r="E67" s="124">
        <f>Exhibit!F18</f>
        <v>21161056</v>
      </c>
      <c r="F67" s="124">
        <f>Exhibit!G18</f>
        <v>5255923</v>
      </c>
      <c r="G67" s="76">
        <f>Exhibit!H18</f>
        <v>26416979</v>
      </c>
    </row>
    <row r="68" spans="1:7" x14ac:dyDescent="0.25">
      <c r="A68" s="83" t="str">
        <f>Exhibit!B19</f>
        <v xml:space="preserve">  Industrial</v>
      </c>
      <c r="C68" s="76">
        <f>Exhibit!D19</f>
        <v>2841330</v>
      </c>
      <c r="D68" s="76">
        <f>Exhibit!E19</f>
        <v>-325438</v>
      </c>
      <c r="E68" s="124">
        <f>Exhibit!F19</f>
        <v>2515892</v>
      </c>
      <c r="F68" s="124">
        <f>Exhibit!G19</f>
        <v>579966</v>
      </c>
      <c r="G68" s="76">
        <f>Exhibit!H19</f>
        <v>3095858</v>
      </c>
    </row>
    <row r="69" spans="1:7" x14ac:dyDescent="0.25">
      <c r="A69" s="83" t="str">
        <f>Exhibit!B20</f>
        <v xml:space="preserve">  Other Public Authorities</v>
      </c>
      <c r="C69" s="76">
        <f>Exhibit!D20</f>
        <v>6057232</v>
      </c>
      <c r="D69" s="76">
        <f>Exhibit!E20</f>
        <v>-353857</v>
      </c>
      <c r="E69" s="124">
        <f>Exhibit!F20</f>
        <v>5703375</v>
      </c>
      <c r="F69" s="124">
        <f>Exhibit!G20</f>
        <v>1420526</v>
      </c>
      <c r="G69" s="76">
        <f>Exhibit!H20</f>
        <v>7123901</v>
      </c>
    </row>
    <row r="70" spans="1:7" x14ac:dyDescent="0.25">
      <c r="A70" s="83" t="str">
        <f>Exhibit!B21</f>
        <v xml:space="preserve">  Sale for Resale</v>
      </c>
      <c r="C70" s="76">
        <f>Exhibit!D21</f>
        <v>1937407</v>
      </c>
      <c r="D70" s="76">
        <f>Exhibit!E21</f>
        <v>-226317</v>
      </c>
      <c r="E70" s="124">
        <f>Exhibit!F21</f>
        <v>1711090</v>
      </c>
      <c r="F70" s="124">
        <f>Exhibit!G21</f>
        <v>367221</v>
      </c>
      <c r="G70" s="76">
        <f>Exhibit!H21</f>
        <v>2078311</v>
      </c>
    </row>
    <row r="71" spans="1:7" x14ac:dyDescent="0.25">
      <c r="A71" s="83" t="str">
        <f>Exhibit!B22</f>
        <v xml:space="preserve">  Private Fire</v>
      </c>
      <c r="C71" s="76">
        <f>Exhibit!D22</f>
        <v>2812617</v>
      </c>
      <c r="D71" s="76">
        <f>Exhibit!E22</f>
        <v>-147896</v>
      </c>
      <c r="E71" s="124">
        <f>Exhibit!F22</f>
        <v>2664721</v>
      </c>
      <c r="F71" s="124">
        <f>Exhibit!G22</f>
        <v>346415</v>
      </c>
      <c r="G71" s="76">
        <f>Exhibit!H22</f>
        <v>3011136</v>
      </c>
    </row>
    <row r="72" spans="1:7" x14ac:dyDescent="0.25">
      <c r="A72" s="83" t="str">
        <f>Exhibit!B23</f>
        <v xml:space="preserve">  Public Fire</v>
      </c>
      <c r="C72" s="76">
        <f>Exhibit!D23</f>
        <v>3807199</v>
      </c>
      <c r="D72" s="76">
        <f>Exhibit!E23</f>
        <v>-196089</v>
      </c>
      <c r="E72" s="124">
        <f>Exhibit!F23</f>
        <v>3611110</v>
      </c>
      <c r="F72" s="124">
        <f>Exhibit!G23</f>
        <v>838067</v>
      </c>
      <c r="G72" s="76">
        <f>Exhibit!H23</f>
        <v>4449177</v>
      </c>
    </row>
    <row r="73" spans="1:7" x14ac:dyDescent="0.25">
      <c r="A73" s="83" t="str">
        <f>Exhibit!B24</f>
        <v xml:space="preserve">  Miscellaneous</v>
      </c>
      <c r="C73" s="76">
        <f>Exhibit!D24</f>
        <v>-1284149</v>
      </c>
      <c r="D73" s="76">
        <f>Exhibit!E24</f>
        <v>1344430</v>
      </c>
      <c r="E73" s="124">
        <f>Exhibit!F24</f>
        <v>60281</v>
      </c>
      <c r="F73" s="124">
        <f>Exhibit!G24</f>
        <v>0</v>
      </c>
      <c r="G73" s="76">
        <f>Exhibit!H24</f>
        <v>60281</v>
      </c>
    </row>
    <row r="74" spans="1:7" x14ac:dyDescent="0.25">
      <c r="A74" s="83" t="str">
        <f>Exhibit!B25</f>
        <v xml:space="preserve">  Other Water Revenue</v>
      </c>
      <c r="C74" s="76">
        <f>Exhibit!D25</f>
        <v>0</v>
      </c>
      <c r="D74" s="76">
        <f>Exhibit!E25</f>
        <v>0</v>
      </c>
      <c r="E74" s="124">
        <f>Exhibit!F25</f>
        <v>0</v>
      </c>
      <c r="F74" s="124">
        <f>Exhibit!G25</f>
        <v>0</v>
      </c>
      <c r="G74" s="76">
        <f>Exhibit!H25</f>
        <v>0</v>
      </c>
    </row>
    <row r="75" spans="1:7" x14ac:dyDescent="0.25">
      <c r="A75" s="83" t="str">
        <f>Exhibit!B26</f>
        <v>Total Sales of Water</v>
      </c>
      <c r="C75" s="76">
        <f>Exhibit!D26</f>
        <v>88969907</v>
      </c>
      <c r="D75" s="76">
        <f>Exhibit!E26</f>
        <v>-4674205</v>
      </c>
      <c r="E75" s="124">
        <f>Exhibit!F26</f>
        <v>84295702</v>
      </c>
      <c r="F75" s="124">
        <f>Exhibit!G26</f>
        <v>19540370</v>
      </c>
      <c r="G75" s="76">
        <f>Exhibit!H26</f>
        <v>103836072</v>
      </c>
    </row>
    <row r="76" spans="1:7" x14ac:dyDescent="0.25">
      <c r="A76" s="83"/>
      <c r="C76" s="76"/>
      <c r="D76" s="76"/>
      <c r="E76" s="124"/>
      <c r="F76" s="124"/>
      <c r="G76" s="76"/>
    </row>
    <row r="77" spans="1:7" x14ac:dyDescent="0.25">
      <c r="A77" s="83"/>
      <c r="C77" s="76"/>
      <c r="D77" s="76"/>
      <c r="E77" s="124"/>
      <c r="F77" s="124"/>
      <c r="G77" s="76"/>
    </row>
    <row r="78" spans="1:7" x14ac:dyDescent="0.25">
      <c r="A78" s="83" t="str">
        <f>Exhibit!B29</f>
        <v>Other Operating Revenues</v>
      </c>
      <c r="C78" s="76">
        <f>Exhibit!D29</f>
        <v>0</v>
      </c>
      <c r="D78" s="76">
        <f>Exhibit!E29</f>
        <v>0</v>
      </c>
      <c r="E78" s="124">
        <f>Exhibit!F29</f>
        <v>0</v>
      </c>
      <c r="F78" s="124">
        <f>Exhibit!G29</f>
        <v>0</v>
      </c>
      <c r="G78" s="76">
        <f>Exhibit!H29</f>
        <v>0</v>
      </c>
    </row>
    <row r="79" spans="1:7" x14ac:dyDescent="0.25">
      <c r="A79" s="83" t="str">
        <f>Exhibit!B30</f>
        <v>Other Water Revenue</v>
      </c>
      <c r="C79" s="76">
        <f>Exhibit!D30</f>
        <v>0</v>
      </c>
      <c r="D79" s="76">
        <f>Exhibit!E30</f>
        <v>0</v>
      </c>
      <c r="E79" s="124">
        <f>Exhibit!F30</f>
        <v>0</v>
      </c>
      <c r="F79" s="124">
        <f>Exhibit!G30</f>
        <v>0</v>
      </c>
      <c r="G79" s="76">
        <f>Exhibit!H30</f>
        <v>0</v>
      </c>
    </row>
    <row r="80" spans="1:7" x14ac:dyDescent="0.25">
      <c r="A80" s="83" t="str">
        <f>Exhibit!B31</f>
        <v>Late Payment Fee</v>
      </c>
      <c r="C80" s="76">
        <f>Exhibit!D31</f>
        <v>837881</v>
      </c>
      <c r="D80" s="76">
        <f>Exhibit!E31</f>
        <v>-64307</v>
      </c>
      <c r="E80" s="124">
        <f>Exhibit!F31</f>
        <v>773574</v>
      </c>
      <c r="F80" s="124">
        <f>Exhibit!G31</f>
        <v>0</v>
      </c>
      <c r="G80" s="76">
        <f>Exhibit!H31</f>
        <v>773574</v>
      </c>
    </row>
    <row r="81" spans="1:7" x14ac:dyDescent="0.25">
      <c r="A81" s="83" t="str">
        <f>Exhibit!B32</f>
        <v>Rent</v>
      </c>
      <c r="C81" s="76">
        <f>Exhibit!D32</f>
        <v>95656</v>
      </c>
      <c r="D81" s="76">
        <f>Exhibit!E32</f>
        <v>1222</v>
      </c>
      <c r="E81" s="124">
        <f>Exhibit!F32</f>
        <v>96878</v>
      </c>
      <c r="F81" s="124">
        <f>Exhibit!G32</f>
        <v>0</v>
      </c>
      <c r="G81" s="76">
        <f>Exhibit!H32</f>
        <v>96878</v>
      </c>
    </row>
    <row r="82" spans="1:7" x14ac:dyDescent="0.25">
      <c r="A82" s="83" t="str">
        <f>Exhibit!B33</f>
        <v>Rent I/C</v>
      </c>
      <c r="C82" s="76">
        <f>Exhibit!D33</f>
        <v>154932</v>
      </c>
      <c r="D82" s="76">
        <f>Exhibit!E33</f>
        <v>-2</v>
      </c>
      <c r="E82" s="124">
        <f>Exhibit!F33</f>
        <v>154930</v>
      </c>
      <c r="F82" s="124">
        <f>Exhibit!G33</f>
        <v>0</v>
      </c>
      <c r="G82" s="76">
        <f>Exhibit!H33</f>
        <v>154930</v>
      </c>
    </row>
    <row r="83" spans="1:7" x14ac:dyDescent="0.25">
      <c r="A83" s="83" t="str">
        <f>Exhibit!B34</f>
        <v>Collect for Others</v>
      </c>
      <c r="C83" s="76">
        <f>Exhibit!D34</f>
        <v>0</v>
      </c>
      <c r="D83" s="76">
        <f>Exhibit!E34</f>
        <v>0</v>
      </c>
      <c r="E83" s="124">
        <f>Exhibit!F34</f>
        <v>0</v>
      </c>
      <c r="F83" s="124">
        <f>Exhibit!G34</f>
        <v>0</v>
      </c>
      <c r="G83" s="76">
        <f>Exhibit!H34</f>
        <v>0</v>
      </c>
    </row>
    <row r="84" spans="1:7" x14ac:dyDescent="0.25">
      <c r="A84" s="83" t="str">
        <f>Exhibit!B35</f>
        <v>NSF Check Charge</v>
      </c>
      <c r="C84" s="76">
        <f>Exhibit!D35</f>
        <v>30420</v>
      </c>
      <c r="D84" s="76">
        <f>Exhibit!E35</f>
        <v>420</v>
      </c>
      <c r="E84" s="124">
        <f>Exhibit!F35</f>
        <v>30840</v>
      </c>
      <c r="F84" s="124">
        <f>Exhibit!G35</f>
        <v>0</v>
      </c>
      <c r="G84" s="76">
        <f>Exhibit!H35</f>
        <v>30840</v>
      </c>
    </row>
    <row r="85" spans="1:7" x14ac:dyDescent="0.25">
      <c r="A85" s="83" t="str">
        <f>Exhibit!B36</f>
        <v>Application/Initiation Fee</v>
      </c>
      <c r="C85" s="76">
        <f>Exhibit!D36</f>
        <v>776520</v>
      </c>
      <c r="D85" s="76">
        <f>Exhibit!E36</f>
        <v>-10839</v>
      </c>
      <c r="E85" s="124">
        <f>Exhibit!F36</f>
        <v>765681</v>
      </c>
      <c r="F85" s="124">
        <f>Exhibit!G36</f>
        <v>0</v>
      </c>
      <c r="G85" s="76">
        <f>Exhibit!H36</f>
        <v>765681</v>
      </c>
    </row>
    <row r="86" spans="1:7" x14ac:dyDescent="0.25">
      <c r="A86" s="83" t="str">
        <f>Exhibit!B37</f>
        <v>Usage Data</v>
      </c>
      <c r="C86" s="76">
        <f>Exhibit!D37</f>
        <v>51797</v>
      </c>
      <c r="D86" s="76">
        <f>Exhibit!E37</f>
        <v>-259</v>
      </c>
      <c r="E86" s="124">
        <f>Exhibit!F37</f>
        <v>51538</v>
      </c>
      <c r="F86" s="124">
        <f>Exhibit!G37</f>
        <v>0</v>
      </c>
      <c r="G86" s="76">
        <f>Exhibit!H37</f>
        <v>51538</v>
      </c>
    </row>
    <row r="87" spans="1:7" x14ac:dyDescent="0.25">
      <c r="A87" s="83" t="str">
        <f>Exhibit!B38</f>
        <v>Reconnect Fee</v>
      </c>
      <c r="C87" s="76">
        <f>Exhibit!D38</f>
        <v>573394</v>
      </c>
      <c r="D87" s="76">
        <f>Exhibit!E38</f>
        <v>25470</v>
      </c>
      <c r="E87" s="124">
        <f>Exhibit!F38</f>
        <v>598864</v>
      </c>
      <c r="F87" s="124">
        <f>Exhibit!G38</f>
        <v>0</v>
      </c>
      <c r="G87" s="76">
        <f>Exhibit!H38</f>
        <v>598864</v>
      </c>
    </row>
    <row r="88" spans="1:7" x14ac:dyDescent="0.25">
      <c r="A88" s="83" t="str">
        <f>Exhibit!B39</f>
        <v>Miscellaneous Service</v>
      </c>
      <c r="C88" s="76">
        <f>Exhibit!D39</f>
        <v>165</v>
      </c>
      <c r="D88" s="76">
        <f>Exhibit!E39</f>
        <v>-165</v>
      </c>
      <c r="E88" s="124">
        <f>Exhibit!F39</f>
        <v>0</v>
      </c>
      <c r="F88" s="124">
        <f>Exhibit!G39</f>
        <v>0</v>
      </c>
      <c r="G88" s="76">
        <f>Exhibit!H39</f>
        <v>0</v>
      </c>
    </row>
    <row r="89" spans="1:7" x14ac:dyDescent="0.25">
      <c r="A89" s="83" t="str">
        <f>Exhibit!B40</f>
        <v>WW-Miscellaneous Service</v>
      </c>
      <c r="C89" s="76">
        <f>Exhibit!D40</f>
        <v>0</v>
      </c>
      <c r="D89" s="76">
        <f>Exhibit!E40</f>
        <v>0</v>
      </c>
      <c r="E89" s="124">
        <f>Exhibit!F40</f>
        <v>0</v>
      </c>
      <c r="F89" s="124">
        <f>Exhibit!G40</f>
        <v>0</v>
      </c>
      <c r="G89" s="76">
        <f>Exhibit!H40</f>
        <v>0</v>
      </c>
    </row>
    <row r="90" spans="1:7" x14ac:dyDescent="0.25">
      <c r="A90" s="83" t="str">
        <f>Exhibit!B41</f>
        <v>Total Other Operating Revenues</v>
      </c>
      <c r="C90" s="76">
        <f>Exhibit!D41</f>
        <v>2520765</v>
      </c>
      <c r="D90" s="76">
        <f>Exhibit!E41</f>
        <v>-48460</v>
      </c>
      <c r="E90" s="124">
        <f>Exhibit!F41</f>
        <v>2472305</v>
      </c>
      <c r="F90" s="124">
        <f>Exhibit!G41</f>
        <v>0</v>
      </c>
      <c r="G90" s="76">
        <f>Exhibit!H41</f>
        <v>2472305</v>
      </c>
    </row>
    <row r="91" spans="1:7" x14ac:dyDescent="0.25">
      <c r="A91" s="83"/>
      <c r="C91" s="76"/>
      <c r="D91" s="76"/>
      <c r="E91" s="124"/>
      <c r="F91" s="124"/>
      <c r="G91" s="76"/>
    </row>
    <row r="92" spans="1:7" x14ac:dyDescent="0.25">
      <c r="A92" s="83"/>
      <c r="C92" s="76"/>
      <c r="D92" s="76"/>
      <c r="E92" s="124"/>
      <c r="F92" s="124"/>
      <c r="G92" s="76"/>
    </row>
    <row r="93" spans="1:7" x14ac:dyDescent="0.25">
      <c r="A93" s="83" t="str">
        <f>Exhibit!B44</f>
        <v>Total Operating Revenues</v>
      </c>
      <c r="C93" s="76">
        <f>Exhibit!D44</f>
        <v>91490672</v>
      </c>
      <c r="D93" s="76">
        <f>Exhibit!E44</f>
        <v>-4722665</v>
      </c>
      <c r="E93" s="124">
        <f>Exhibit!F44</f>
        <v>86768007</v>
      </c>
      <c r="F93" s="124">
        <f>Exhibit!G44</f>
        <v>19540370</v>
      </c>
      <c r="G93" s="76">
        <f>Exhibit!H44</f>
        <v>106308377</v>
      </c>
    </row>
    <row r="94" spans="1:7" x14ac:dyDescent="0.25">
      <c r="A94" s="83"/>
    </row>
    <row r="100" spans="1:5" x14ac:dyDescent="0.25">
      <c r="A100" t="str">
        <f>Exhibit!H9</f>
        <v>Exhibit 37, Schedule M-1</v>
      </c>
      <c r="E100" s="20" t="str">
        <f>"Exh 37"&amp;RIGHT(A100,LEN(A100)-SEARCH(",",A100,1)+1)</f>
        <v>Exh 37, Schedule M-1</v>
      </c>
    </row>
    <row r="101" spans="1:5" x14ac:dyDescent="0.25">
      <c r="A101" t="str">
        <f ca="1">Exhibit!H10</f>
        <v>Discovery\PSC\Attachment\[KAW_R_PSCDR2_NUM011_012519_Attachment_2_Exhibit 37_Schedule M-1.xlsx]Exhibit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zoomScaleNormal="100" workbookViewId="0">
      <selection activeCell="I15" sqref="I15"/>
    </sheetView>
  </sheetViews>
  <sheetFormatPr defaultColWidth="9.140625" defaultRowHeight="15" x14ac:dyDescent="0.25"/>
  <cols>
    <col min="1" max="1" width="9.85546875" style="23" bestFit="1" customWidth="1"/>
    <col min="2" max="2" width="24.42578125" style="23" customWidth="1"/>
    <col min="3" max="3" width="74" style="23" customWidth="1"/>
    <col min="4" max="4" width="14.85546875" style="23" bestFit="1" customWidth="1"/>
    <col min="5" max="8" width="12.85546875" style="23" customWidth="1"/>
    <col min="9" max="9" width="13" style="23" bestFit="1" customWidth="1"/>
    <col min="10" max="10" width="14.7109375" style="23" customWidth="1"/>
    <col min="11" max="11" width="11.7109375" style="23" bestFit="1" customWidth="1"/>
    <col min="12" max="12" width="15.28515625" style="23" customWidth="1"/>
    <col min="13" max="13" width="11.140625" style="23" customWidth="1"/>
    <col min="14" max="14" width="11.5703125" style="23" bestFit="1" customWidth="1"/>
    <col min="15" max="15" width="13.5703125" style="23" bestFit="1" customWidth="1"/>
    <col min="16" max="16" width="9.5703125" style="23" bestFit="1" customWidth="1"/>
    <col min="17" max="18" width="14.85546875" style="23" bestFit="1" customWidth="1"/>
    <col min="19" max="19" width="10.42578125" style="23" customWidth="1"/>
    <col min="20" max="20" width="13.42578125" style="23" bestFit="1" customWidth="1"/>
    <col min="21" max="21" width="9.140625" style="23"/>
    <col min="22" max="22" width="12.140625" style="23" customWidth="1"/>
    <col min="23" max="23" width="11.7109375" style="23" customWidth="1"/>
    <col min="24" max="24" width="9.140625" style="23"/>
    <col min="25" max="25" width="13.42578125" style="23" bestFit="1" customWidth="1"/>
    <col min="26" max="16384" width="9.140625" style="23"/>
  </cols>
  <sheetData>
    <row r="1" spans="1:24" ht="15.75" x14ac:dyDescent="0.25">
      <c r="A1" s="96"/>
      <c r="B1" s="22"/>
      <c r="C1" s="22"/>
      <c r="D1" s="22"/>
      <c r="E1" s="22"/>
      <c r="F1" s="93"/>
      <c r="G1" s="18"/>
      <c r="I1" s="87"/>
      <c r="J1" s="94"/>
    </row>
    <row r="2" spans="1:24" ht="15.75" x14ac:dyDescent="0.25">
      <c r="A2" s="96"/>
      <c r="B2" s="22"/>
      <c r="C2" s="22"/>
      <c r="D2" s="22"/>
      <c r="E2" s="22"/>
      <c r="F2" s="93"/>
      <c r="G2" s="18"/>
      <c r="I2" s="87"/>
      <c r="J2" s="94"/>
    </row>
    <row r="3" spans="1:24" x14ac:dyDescent="0.25">
      <c r="J3" s="24"/>
    </row>
    <row r="4" spans="1:24" x14ac:dyDescent="0.25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I4" s="26"/>
      <c r="J4" s="26"/>
      <c r="K4" s="1"/>
    </row>
    <row r="5" spans="1:24" x14ac:dyDescent="0.25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26"/>
      <c r="J5" s="26"/>
      <c r="K5" s="2"/>
    </row>
    <row r="6" spans="1:24" x14ac:dyDescent="0.25">
      <c r="A6" s="134" t="s">
        <v>128</v>
      </c>
      <c r="B6" s="134"/>
      <c r="C6" s="134"/>
      <c r="D6" s="134"/>
      <c r="E6" s="134"/>
      <c r="F6" s="134"/>
      <c r="G6" s="134"/>
      <c r="H6" s="134"/>
      <c r="I6" s="26"/>
      <c r="J6" s="26"/>
    </row>
    <row r="7" spans="1:24" x14ac:dyDescent="0.25">
      <c r="A7" s="134" t="s">
        <v>137</v>
      </c>
      <c r="B7" s="134"/>
      <c r="C7" s="134"/>
      <c r="D7" s="134"/>
      <c r="E7" s="134"/>
      <c r="F7" s="134"/>
      <c r="G7" s="134"/>
      <c r="H7" s="134"/>
      <c r="I7" s="26"/>
      <c r="J7" s="26"/>
    </row>
    <row r="8" spans="1:24" x14ac:dyDescent="0.25">
      <c r="A8" s="3"/>
      <c r="B8" s="3"/>
      <c r="C8" s="3"/>
      <c r="D8" s="3"/>
      <c r="E8" s="3"/>
      <c r="F8" s="3"/>
      <c r="G8" s="3"/>
      <c r="I8" s="3"/>
      <c r="J8" s="3"/>
      <c r="K8" s="3"/>
    </row>
    <row r="9" spans="1:24" x14ac:dyDescent="0.25">
      <c r="A9" s="26" t="str">
        <f>'Link In'!A55</f>
        <v>Witness Responsible:   Melissa Schwarzell</v>
      </c>
      <c r="B9" s="26"/>
      <c r="C9" s="26"/>
      <c r="D9" s="26"/>
      <c r="E9" s="26"/>
      <c r="F9" s="26"/>
      <c r="G9" s="26"/>
      <c r="H9" s="95" t="s">
        <v>127</v>
      </c>
      <c r="I9" s="26"/>
      <c r="J9" s="26"/>
      <c r="K9" s="3"/>
    </row>
    <row r="10" spans="1:24" x14ac:dyDescent="0.25">
      <c r="A10" s="26" t="str">
        <f>'Link In'!A4</f>
        <v/>
      </c>
      <c r="H10" s="95" t="str">
        <f ca="1">RIGHT(CELL("filename",$A$1),LEN(CELL("filename",$A$1))-SEARCH("\Discovery",CELL("filename",$A$1),1))</f>
        <v>Discovery\PSC\Attachment\[KAW_R_PSCDR2_NUM011_012519_Attachment_2_Exhibit 37_Schedule M-1.xlsx]Exhibit</v>
      </c>
      <c r="K10" s="3"/>
    </row>
    <row r="11" spans="1:24" x14ac:dyDescent="0.25">
      <c r="A11" s="3"/>
      <c r="B11" s="3"/>
      <c r="C11" s="4"/>
      <c r="D11" s="82"/>
      <c r="E11" s="4"/>
      <c r="F11" s="4"/>
      <c r="G11" s="4"/>
      <c r="I11" s="4"/>
      <c r="J11" s="4"/>
      <c r="K11" s="5"/>
    </row>
    <row r="12" spans="1:24" x14ac:dyDescent="0.25">
      <c r="A12" s="3"/>
      <c r="B12" s="3"/>
      <c r="C12" s="75" t="s">
        <v>22</v>
      </c>
      <c r="D12" s="82" t="s">
        <v>40</v>
      </c>
      <c r="E12" s="82" t="s">
        <v>2</v>
      </c>
      <c r="F12" s="82" t="s">
        <v>86</v>
      </c>
      <c r="G12" s="75" t="s">
        <v>2</v>
      </c>
      <c r="H12" s="75" t="s">
        <v>86</v>
      </c>
      <c r="I12" s="59"/>
      <c r="J12" s="59"/>
      <c r="K12" s="5"/>
      <c r="L12" s="133"/>
      <c r="M12" s="133"/>
      <c r="N12" s="133"/>
      <c r="Q12" s="92" t="s">
        <v>103</v>
      </c>
      <c r="R12" s="92" t="s">
        <v>69</v>
      </c>
      <c r="S12" s="92"/>
      <c r="T12" s="19"/>
      <c r="V12" s="133" t="s">
        <v>32</v>
      </c>
      <c r="W12" s="133"/>
      <c r="X12" s="133"/>
    </row>
    <row r="13" spans="1:24" x14ac:dyDescent="0.25">
      <c r="A13" s="75" t="s">
        <v>3</v>
      </c>
      <c r="B13" s="3"/>
      <c r="C13" s="75" t="s">
        <v>23</v>
      </c>
      <c r="D13" s="82" t="s">
        <v>97</v>
      </c>
      <c r="E13" s="82" t="s">
        <v>95</v>
      </c>
      <c r="F13" s="82" t="s">
        <v>96</v>
      </c>
      <c r="G13" s="75" t="s">
        <v>4</v>
      </c>
      <c r="H13" s="75" t="s">
        <v>5</v>
      </c>
      <c r="I13" s="59"/>
      <c r="J13" s="59"/>
      <c r="K13" s="5"/>
    </row>
    <row r="14" spans="1:24" x14ac:dyDescent="0.25">
      <c r="A14" s="98" t="s">
        <v>6</v>
      </c>
      <c r="B14" s="98" t="s">
        <v>7</v>
      </c>
      <c r="C14" s="98" t="s">
        <v>24</v>
      </c>
      <c r="D14" s="99">
        <f>'Link In'!A3</f>
        <v>43524</v>
      </c>
      <c r="E14" s="98" t="s">
        <v>9</v>
      </c>
      <c r="F14" s="98" t="s">
        <v>9</v>
      </c>
      <c r="G14" s="98" t="s">
        <v>9</v>
      </c>
      <c r="H14" s="98" t="s">
        <v>9</v>
      </c>
      <c r="I14" s="60"/>
      <c r="J14" s="60"/>
      <c r="K14" s="5"/>
    </row>
    <row r="15" spans="1:24" x14ac:dyDescent="0.25">
      <c r="A15" s="4">
        <v>1</v>
      </c>
      <c r="B15" s="3"/>
      <c r="C15" s="3"/>
      <c r="D15" s="6"/>
      <c r="E15" s="6"/>
      <c r="F15" s="6"/>
      <c r="G15" s="6"/>
      <c r="H15" s="6"/>
      <c r="I15" s="61"/>
      <c r="J15" s="61"/>
      <c r="K15" s="5"/>
    </row>
    <row r="16" spans="1:24" x14ac:dyDescent="0.25">
      <c r="A16" s="4">
        <v>2</v>
      </c>
      <c r="B16" s="26" t="s">
        <v>62</v>
      </c>
      <c r="C16" s="3"/>
      <c r="D16" s="6"/>
      <c r="E16" s="6"/>
      <c r="F16" s="7" t="s">
        <v>10</v>
      </c>
      <c r="G16" s="6" t="s">
        <v>10</v>
      </c>
      <c r="H16" s="6"/>
      <c r="I16" s="61"/>
      <c r="J16" s="61"/>
      <c r="K16" s="5"/>
    </row>
    <row r="17" spans="1:25" x14ac:dyDescent="0.25">
      <c r="A17" s="4">
        <v>3</v>
      </c>
      <c r="B17" s="3" t="s">
        <v>11</v>
      </c>
      <c r="C17" s="3" t="str">
        <f ca="1">'Link In'!A54</f>
        <v>Discovery\PSC\Support\PSCDR2_NUM011\[KAWC 2018 Rate Case - Revenue DR11.xlsx]Sch M</v>
      </c>
      <c r="D17" s="113">
        <f>'Link In'!B7</f>
        <v>49884345</v>
      </c>
      <c r="E17" s="113">
        <f t="shared" ref="E17:E25" si="0">ROUND(F17-D17,0)</f>
        <v>-3016168</v>
      </c>
      <c r="F17" s="113">
        <f>'Link In'!H7</f>
        <v>46868177</v>
      </c>
      <c r="G17" s="113">
        <f>H17-F17</f>
        <v>10732252</v>
      </c>
      <c r="H17" s="113">
        <f>'Link In'!N7</f>
        <v>57600429</v>
      </c>
      <c r="I17" s="62"/>
      <c r="J17" s="62"/>
      <c r="K17" s="5"/>
      <c r="L17" s="51"/>
      <c r="M17" s="53"/>
      <c r="N17" s="25"/>
      <c r="O17" s="25"/>
      <c r="Q17" s="25">
        <f t="shared" ref="Q17:Q22" si="1">F17</f>
        <v>46868177</v>
      </c>
      <c r="R17" s="25">
        <f>'[6]Link out'!F33</f>
        <v>46868177</v>
      </c>
      <c r="S17" s="25" t="b">
        <f>R17=Q17</f>
        <v>1</v>
      </c>
      <c r="T17" s="25"/>
      <c r="V17" s="46">
        <f t="shared" ref="V17:V22" si="2">W17-H17</f>
        <v>-57600429</v>
      </c>
      <c r="W17" s="47">
        <f>'[6]Link out'!$X$12</f>
        <v>0</v>
      </c>
      <c r="X17" s="23" t="b">
        <f>ROUND(W17,0)=ROUND(J17,0)</f>
        <v>1</v>
      </c>
      <c r="Y17" s="25">
        <f t="shared" ref="Y17:Y22" si="3">V17-I17</f>
        <v>-57600429</v>
      </c>
    </row>
    <row r="18" spans="1:25" x14ac:dyDescent="0.25">
      <c r="A18" s="4">
        <v>4</v>
      </c>
      <c r="B18" s="3" t="s">
        <v>12</v>
      </c>
      <c r="C18" s="3" t="str">
        <f ca="1">C17</f>
        <v>Discovery\PSC\Support\PSCDR2_NUM011\[KAWC 2018 Rate Case - Revenue DR11.xlsx]Sch M</v>
      </c>
      <c r="D18" s="6">
        <f>'Link In'!B8</f>
        <v>22913926</v>
      </c>
      <c r="E18" s="6">
        <f t="shared" si="0"/>
        <v>-1752870</v>
      </c>
      <c r="F18" s="6">
        <f>'Link In'!H8</f>
        <v>21161056</v>
      </c>
      <c r="G18" s="6">
        <f t="shared" ref="G18:G25" si="4">H18-F18</f>
        <v>5255923</v>
      </c>
      <c r="H18" s="6">
        <f>'Link In'!N8</f>
        <v>26416979</v>
      </c>
      <c r="I18" s="64"/>
      <c r="J18" s="64"/>
      <c r="K18" s="5"/>
      <c r="L18" s="51"/>
      <c r="M18" s="53"/>
      <c r="N18" s="25"/>
      <c r="O18" s="25"/>
      <c r="Q18" s="25">
        <f t="shared" si="1"/>
        <v>21161056</v>
      </c>
      <c r="R18" s="25">
        <f>'[6]Link out'!F34</f>
        <v>21161056</v>
      </c>
      <c r="S18" s="25" t="b">
        <f>R18=Q18</f>
        <v>1</v>
      </c>
      <c r="T18" s="25"/>
      <c r="V18" s="46">
        <f t="shared" si="2"/>
        <v>-26416979</v>
      </c>
      <c r="W18" s="47">
        <f>'[6]Link out'!$X$13</f>
        <v>0</v>
      </c>
      <c r="X18" s="23" t="b">
        <f t="shared" ref="X18:X22" si="5">ROUND(W18,0)=ROUND(J18,0)</f>
        <v>1</v>
      </c>
      <c r="Y18" s="25">
        <f t="shared" si="3"/>
        <v>-26416979</v>
      </c>
    </row>
    <row r="19" spans="1:25" x14ac:dyDescent="0.25">
      <c r="A19" s="4">
        <v>5</v>
      </c>
      <c r="B19" s="3" t="s">
        <v>13</v>
      </c>
      <c r="C19" s="3" t="str">
        <f t="shared" ref="C19:C25" ca="1" si="6">C18</f>
        <v>Discovery\PSC\Support\PSCDR2_NUM011\[KAWC 2018 Rate Case - Revenue DR11.xlsx]Sch M</v>
      </c>
      <c r="D19" s="6">
        <f>'Link In'!B9</f>
        <v>2841330</v>
      </c>
      <c r="E19" s="6">
        <f t="shared" si="0"/>
        <v>-325438</v>
      </c>
      <c r="F19" s="6">
        <f>'Link In'!H9</f>
        <v>2515892</v>
      </c>
      <c r="G19" s="6">
        <f t="shared" si="4"/>
        <v>579966</v>
      </c>
      <c r="H19" s="6">
        <f>'Link In'!N9</f>
        <v>3095858</v>
      </c>
      <c r="I19" s="64"/>
      <c r="J19" s="64"/>
      <c r="K19" s="5"/>
      <c r="L19" s="51"/>
      <c r="M19" s="53"/>
      <c r="N19" s="25"/>
      <c r="O19" s="25"/>
      <c r="Q19" s="25">
        <f t="shared" si="1"/>
        <v>2515892</v>
      </c>
      <c r="R19" s="25">
        <f>'[6]Link out'!F35</f>
        <v>2515892</v>
      </c>
      <c r="S19" s="25" t="b">
        <f>R19=Q19</f>
        <v>1</v>
      </c>
      <c r="T19" s="25"/>
      <c r="V19" s="46">
        <f t="shared" si="2"/>
        <v>-3095858</v>
      </c>
      <c r="W19" s="47">
        <f>'[6]Link out'!$X$14</f>
        <v>0</v>
      </c>
      <c r="X19" s="23" t="b">
        <f t="shared" si="5"/>
        <v>1</v>
      </c>
      <c r="Y19" s="25">
        <f t="shared" si="3"/>
        <v>-3095858</v>
      </c>
    </row>
    <row r="20" spans="1:25" x14ac:dyDescent="0.25">
      <c r="A20" s="4">
        <v>6</v>
      </c>
      <c r="B20" s="3" t="s">
        <v>14</v>
      </c>
      <c r="C20" s="3" t="str">
        <f t="shared" ca="1" si="6"/>
        <v>Discovery\PSC\Support\PSCDR2_NUM011\[KAWC 2018 Rate Case - Revenue DR11.xlsx]Sch M</v>
      </c>
      <c r="D20" s="6">
        <f>'Link In'!B10</f>
        <v>6057232</v>
      </c>
      <c r="E20" s="6">
        <f t="shared" si="0"/>
        <v>-353857</v>
      </c>
      <c r="F20" s="6">
        <f>'Link In'!H10</f>
        <v>5703375</v>
      </c>
      <c r="G20" s="6">
        <f t="shared" si="4"/>
        <v>1420526</v>
      </c>
      <c r="H20" s="6">
        <f>'Link In'!N10</f>
        <v>7123901</v>
      </c>
      <c r="I20" s="64"/>
      <c r="J20" s="64"/>
      <c r="K20" s="3"/>
      <c r="L20" s="51"/>
      <c r="M20" s="53"/>
      <c r="N20" s="25"/>
      <c r="O20" s="25"/>
      <c r="Q20" s="25">
        <f t="shared" si="1"/>
        <v>5703375</v>
      </c>
      <c r="R20" s="25">
        <f>'[6]Link out'!F36</f>
        <v>5703375</v>
      </c>
      <c r="S20" s="25" t="b">
        <f t="shared" ref="S20:S25" si="7">R20=Q20</f>
        <v>1</v>
      </c>
      <c r="T20" s="25"/>
      <c r="V20" s="46">
        <f t="shared" si="2"/>
        <v>-7123901</v>
      </c>
      <c r="W20" s="47">
        <f>'[6]Link out'!$X$15</f>
        <v>0</v>
      </c>
      <c r="X20" s="23" t="b">
        <f t="shared" si="5"/>
        <v>1</v>
      </c>
      <c r="Y20" s="25">
        <f t="shared" si="3"/>
        <v>-7123901</v>
      </c>
    </row>
    <row r="21" spans="1:25" x14ac:dyDescent="0.25">
      <c r="A21" s="4">
        <v>7</v>
      </c>
      <c r="B21" s="3" t="s">
        <v>52</v>
      </c>
      <c r="C21" s="3" t="str">
        <f t="shared" ca="1" si="6"/>
        <v>Discovery\PSC\Support\PSCDR2_NUM011\[KAWC 2018 Rate Case - Revenue DR11.xlsx]Sch M</v>
      </c>
      <c r="D21" s="6">
        <f>'Link In'!B11</f>
        <v>1937407</v>
      </c>
      <c r="E21" s="6">
        <f t="shared" si="0"/>
        <v>-226317</v>
      </c>
      <c r="F21" s="6">
        <f>'Link In'!H11</f>
        <v>1711090</v>
      </c>
      <c r="G21" s="6">
        <f t="shared" si="4"/>
        <v>367221</v>
      </c>
      <c r="H21" s="6">
        <f>'Link In'!N11</f>
        <v>2078311</v>
      </c>
      <c r="I21" s="64"/>
      <c r="J21" s="64"/>
      <c r="K21" s="9"/>
      <c r="L21" s="51"/>
      <c r="M21" s="53"/>
      <c r="N21" s="25"/>
      <c r="O21" s="25"/>
      <c r="Q21" s="25">
        <f t="shared" si="1"/>
        <v>1711090</v>
      </c>
      <c r="R21" s="25">
        <f>'[6]Link out'!F37</f>
        <v>1711088</v>
      </c>
      <c r="S21" s="25" t="b">
        <f t="shared" si="7"/>
        <v>0</v>
      </c>
      <c r="T21" s="25"/>
      <c r="V21" s="46">
        <f t="shared" si="2"/>
        <v>-2078311</v>
      </c>
      <c r="W21" s="47">
        <f>'[6]Link out'!$X$16</f>
        <v>0</v>
      </c>
      <c r="X21" s="23" t="b">
        <f t="shared" si="5"/>
        <v>1</v>
      </c>
      <c r="Y21" s="25">
        <f t="shared" si="3"/>
        <v>-2078311</v>
      </c>
    </row>
    <row r="22" spans="1:25" x14ac:dyDescent="0.25">
      <c r="A22" s="4">
        <v>8</v>
      </c>
      <c r="B22" s="3" t="s">
        <v>121</v>
      </c>
      <c r="C22" s="3" t="str">
        <f t="shared" ca="1" si="6"/>
        <v>Discovery\PSC\Support\PSCDR2_NUM011\[KAWC 2018 Rate Case - Revenue DR11.xlsx]Sch M</v>
      </c>
      <c r="D22" s="6">
        <f>'Link In'!B12</f>
        <v>2812617</v>
      </c>
      <c r="E22" s="6">
        <f t="shared" si="0"/>
        <v>-147896</v>
      </c>
      <c r="F22" s="6">
        <f>'Link In'!H12</f>
        <v>2664721</v>
      </c>
      <c r="G22" s="6">
        <f t="shared" si="4"/>
        <v>346415</v>
      </c>
      <c r="H22" s="6">
        <f>'Link In'!N12</f>
        <v>3011136</v>
      </c>
      <c r="I22" s="64"/>
      <c r="J22" s="64"/>
      <c r="K22" s="10"/>
      <c r="L22" s="51"/>
      <c r="M22" s="53"/>
      <c r="N22" s="25"/>
      <c r="O22" s="25"/>
      <c r="Q22" s="25">
        <f t="shared" si="1"/>
        <v>2664721</v>
      </c>
      <c r="R22" s="25">
        <f>'[6]Link out'!F38</f>
        <v>2664721</v>
      </c>
      <c r="S22" s="25" t="b">
        <f t="shared" si="7"/>
        <v>1</v>
      </c>
      <c r="T22" s="25"/>
      <c r="V22" s="46">
        <f t="shared" si="2"/>
        <v>-3011136</v>
      </c>
      <c r="W22" s="47">
        <f>'[6]Link out'!$X$17</f>
        <v>0</v>
      </c>
      <c r="X22" s="23" t="b">
        <f t="shared" si="5"/>
        <v>1</v>
      </c>
      <c r="Y22" s="25">
        <f t="shared" si="3"/>
        <v>-3011136</v>
      </c>
    </row>
    <row r="23" spans="1:25" x14ac:dyDescent="0.25">
      <c r="A23" s="4">
        <v>9</v>
      </c>
      <c r="B23" s="3" t="s">
        <v>120</v>
      </c>
      <c r="C23" s="3" t="str">
        <f t="shared" ca="1" si="6"/>
        <v>Discovery\PSC\Support\PSCDR2_NUM011\[KAWC 2018 Rate Case - Revenue DR11.xlsx]Sch M</v>
      </c>
      <c r="D23" s="6">
        <f>'Link In'!B13</f>
        <v>3807199</v>
      </c>
      <c r="E23" s="6">
        <f>ROUND(F23-D23,0)</f>
        <v>-196089</v>
      </c>
      <c r="F23" s="6">
        <f>'Link In'!H13</f>
        <v>3611110</v>
      </c>
      <c r="G23" s="6">
        <f t="shared" si="4"/>
        <v>838067</v>
      </c>
      <c r="H23" s="6">
        <f>'Link In'!N13</f>
        <v>4449177</v>
      </c>
      <c r="I23" s="64"/>
      <c r="J23" s="64"/>
      <c r="K23" s="10"/>
      <c r="L23" s="51"/>
      <c r="M23" s="53"/>
      <c r="N23" s="25"/>
      <c r="O23" s="25"/>
      <c r="Q23" s="25">
        <f>F24</f>
        <v>60281</v>
      </c>
      <c r="R23" s="25">
        <f>'[6]Link out'!F40</f>
        <v>60281</v>
      </c>
      <c r="S23" s="25" t="b">
        <f t="shared" si="7"/>
        <v>1</v>
      </c>
      <c r="T23" s="25"/>
      <c r="V23" s="46"/>
      <c r="W23" s="47"/>
      <c r="Y23" s="25"/>
    </row>
    <row r="24" spans="1:25" x14ac:dyDescent="0.25">
      <c r="A24" s="4">
        <v>10</v>
      </c>
      <c r="B24" s="3" t="s">
        <v>16</v>
      </c>
      <c r="C24" s="3" t="str">
        <f t="shared" ca="1" si="6"/>
        <v>Discovery\PSC\Support\PSCDR2_NUM011\[KAWC 2018 Rate Case - Revenue DR11.xlsx]Sch M</v>
      </c>
      <c r="D24" s="6">
        <f>'Link In'!B14</f>
        <v>-1284149</v>
      </c>
      <c r="E24" s="6">
        <f t="shared" si="0"/>
        <v>1344430</v>
      </c>
      <c r="F24" s="6">
        <f>'Link In'!H14</f>
        <v>60281</v>
      </c>
      <c r="G24" s="6">
        <f t="shared" si="4"/>
        <v>0</v>
      </c>
      <c r="H24" s="6">
        <f>'Link In'!N14</f>
        <v>60281</v>
      </c>
      <c r="I24" s="64"/>
      <c r="J24" s="64"/>
      <c r="K24" s="3"/>
      <c r="L24" s="51"/>
      <c r="M24" s="53"/>
      <c r="N24" s="25"/>
      <c r="O24" s="25"/>
      <c r="Q24" s="25">
        <f>F25</f>
        <v>0</v>
      </c>
      <c r="R24" s="25">
        <f>'[6]Link out'!F41</f>
        <v>0</v>
      </c>
      <c r="S24" s="25" t="b">
        <f t="shared" si="7"/>
        <v>1</v>
      </c>
      <c r="T24" s="25"/>
      <c r="V24" s="46">
        <f>W24-H25</f>
        <v>0</v>
      </c>
      <c r="W24" s="48"/>
      <c r="X24" s="23" t="b">
        <f>ROUND(W24,0)=ROUND(J24,0)</f>
        <v>1</v>
      </c>
      <c r="Y24" s="25">
        <f>V24-I24</f>
        <v>0</v>
      </c>
    </row>
    <row r="25" spans="1:25" x14ac:dyDescent="0.25">
      <c r="A25" s="4">
        <v>11</v>
      </c>
      <c r="B25" s="3" t="s">
        <v>92</v>
      </c>
      <c r="C25" s="3" t="str">
        <f t="shared" ca="1" si="6"/>
        <v>Discovery\PSC\Support\PSCDR2_NUM011\[KAWC 2018 Rate Case - Revenue DR11.xlsx]Sch M</v>
      </c>
      <c r="D25" s="6">
        <f>'Link In'!B15</f>
        <v>0</v>
      </c>
      <c r="E25" s="6">
        <f t="shared" si="0"/>
        <v>0</v>
      </c>
      <c r="F25" s="6">
        <f>'Link In'!H15</f>
        <v>0</v>
      </c>
      <c r="G25" s="6">
        <f t="shared" si="4"/>
        <v>0</v>
      </c>
      <c r="H25" s="6">
        <f>'Link In'!N15</f>
        <v>0</v>
      </c>
      <c r="I25" s="64"/>
      <c r="J25" s="64"/>
      <c r="K25" s="3"/>
      <c r="L25" s="48"/>
      <c r="M25" s="48"/>
      <c r="Q25" s="25">
        <f>F26</f>
        <v>84295702</v>
      </c>
      <c r="R25" s="25">
        <f>'[6]Link out'!F42</f>
        <v>84295700</v>
      </c>
      <c r="S25" s="25" t="b">
        <f t="shared" si="7"/>
        <v>0</v>
      </c>
    </row>
    <row r="26" spans="1:25" x14ac:dyDescent="0.25">
      <c r="A26" s="4">
        <v>12</v>
      </c>
      <c r="B26" s="26" t="s">
        <v>17</v>
      </c>
      <c r="C26" s="3"/>
      <c r="D26" s="105">
        <f t="shared" ref="D26:H26" si="8">SUM(D17:D25)</f>
        <v>88969907</v>
      </c>
      <c r="E26" s="105">
        <f>SUM(E17:E25)</f>
        <v>-4674205</v>
      </c>
      <c r="F26" s="105">
        <f t="shared" si="8"/>
        <v>84295702</v>
      </c>
      <c r="G26" s="105">
        <f t="shared" si="8"/>
        <v>19540370</v>
      </c>
      <c r="H26" s="105">
        <f t="shared" si="8"/>
        <v>103836072</v>
      </c>
      <c r="I26" s="62"/>
      <c r="J26" s="62"/>
      <c r="K26" s="3"/>
      <c r="L26" s="48"/>
      <c r="M26" s="48"/>
    </row>
    <row r="27" spans="1:25" x14ac:dyDescent="0.25">
      <c r="A27" s="4">
        <v>13</v>
      </c>
      <c r="B27" s="3"/>
      <c r="C27" s="3" t="s">
        <v>18</v>
      </c>
      <c r="D27" s="105"/>
      <c r="E27" s="105"/>
      <c r="F27" s="105"/>
      <c r="G27" s="105"/>
      <c r="H27" s="105"/>
      <c r="I27" s="62"/>
      <c r="J27" s="62"/>
      <c r="K27" s="3"/>
      <c r="L27" s="48"/>
      <c r="M27" s="48"/>
    </row>
    <row r="28" spans="1:25" x14ac:dyDescent="0.25">
      <c r="A28" s="4">
        <v>14</v>
      </c>
      <c r="B28" s="3"/>
      <c r="C28" s="3"/>
      <c r="D28" s="6"/>
      <c r="E28" s="6"/>
      <c r="F28" s="6"/>
      <c r="G28" s="6"/>
      <c r="H28" s="6"/>
      <c r="I28" s="62"/>
      <c r="J28" s="62"/>
      <c r="K28" s="3"/>
      <c r="L28" s="48"/>
      <c r="M28" s="48"/>
    </row>
    <row r="29" spans="1:25" x14ac:dyDescent="0.25">
      <c r="A29" s="4">
        <v>15</v>
      </c>
      <c r="B29" s="26" t="s">
        <v>19</v>
      </c>
      <c r="C29" s="3"/>
      <c r="D29" s="6"/>
      <c r="E29" s="6"/>
      <c r="F29" s="6"/>
      <c r="G29" s="6"/>
      <c r="H29" s="6"/>
      <c r="I29" s="62"/>
      <c r="J29" s="62"/>
      <c r="K29" s="3"/>
      <c r="L29" s="48"/>
      <c r="M29" s="48"/>
    </row>
    <row r="30" spans="1:25" x14ac:dyDescent="0.25">
      <c r="A30" s="4">
        <v>16</v>
      </c>
      <c r="B30" s="3" t="s">
        <v>41</v>
      </c>
      <c r="C30" s="3" t="str">
        <f ca="1">C25</f>
        <v>Discovery\PSC\Support\PSCDR2_NUM011\[KAWC 2018 Rate Case - Revenue DR11.xlsx]Sch M</v>
      </c>
      <c r="D30" s="6">
        <f>'Link In'!B24</f>
        <v>0</v>
      </c>
      <c r="E30" s="6">
        <f t="shared" ref="E30:E40" si="9">F30-D30</f>
        <v>0</v>
      </c>
      <c r="F30" s="6">
        <f>'Link In'!C24</f>
        <v>0</v>
      </c>
      <c r="G30" s="6">
        <v>0</v>
      </c>
      <c r="H30" s="6">
        <f t="shared" ref="H30:H40" si="10">SUM(F30:G30)</f>
        <v>0</v>
      </c>
      <c r="I30" s="63"/>
      <c r="J30" s="63"/>
      <c r="K30" s="3"/>
      <c r="L30" s="51"/>
      <c r="M30" s="51"/>
      <c r="Q30" s="25">
        <f t="shared" ref="Q30:Q40" si="11">F30</f>
        <v>0</v>
      </c>
      <c r="R30" s="45">
        <f>'[6]Sch M'!Q25</f>
        <v>0</v>
      </c>
      <c r="S30" s="25" t="b">
        <f>R30=Q30</f>
        <v>1</v>
      </c>
    </row>
    <row r="31" spans="1:25" x14ac:dyDescent="0.25">
      <c r="A31" s="4">
        <v>17</v>
      </c>
      <c r="B31" s="3" t="s">
        <v>65</v>
      </c>
      <c r="C31" s="3" t="str">
        <f ca="1">C30</f>
        <v>Discovery\PSC\Support\PSCDR2_NUM011\[KAWC 2018 Rate Case - Revenue DR11.xlsx]Sch M</v>
      </c>
      <c r="D31" s="6">
        <f>'Link In'!B25</f>
        <v>837881</v>
      </c>
      <c r="E31" s="6">
        <f t="shared" si="9"/>
        <v>-64307</v>
      </c>
      <c r="F31" s="6">
        <f>'Link In'!C25</f>
        <v>773574</v>
      </c>
      <c r="G31" s="6">
        <f>'Link In'!D25</f>
        <v>0</v>
      </c>
      <c r="H31" s="6">
        <f t="shared" si="10"/>
        <v>773574</v>
      </c>
      <c r="I31" s="65"/>
      <c r="J31" s="65"/>
      <c r="K31" s="3"/>
      <c r="L31" s="51"/>
      <c r="M31" s="51"/>
      <c r="O31" s="45"/>
      <c r="Q31" s="25">
        <f t="shared" si="11"/>
        <v>773574</v>
      </c>
      <c r="R31" s="45">
        <f>'[6]Sch M'!Q26</f>
        <v>773574</v>
      </c>
      <c r="S31" s="25" t="b">
        <f t="shared" ref="S31:S41" si="12">R31=Q31</f>
        <v>1</v>
      </c>
    </row>
    <row r="32" spans="1:25" x14ac:dyDescent="0.25">
      <c r="A32" s="4">
        <v>18</v>
      </c>
      <c r="B32" s="3" t="s">
        <v>55</v>
      </c>
      <c r="C32" s="3" t="str">
        <f t="shared" ref="C32:C40" ca="1" si="13">C31</f>
        <v>Discovery\PSC\Support\PSCDR2_NUM011\[KAWC 2018 Rate Case - Revenue DR11.xlsx]Sch M</v>
      </c>
      <c r="D32" s="6">
        <f>'Link In'!B26</f>
        <v>95656</v>
      </c>
      <c r="E32" s="6">
        <f t="shared" si="9"/>
        <v>1222</v>
      </c>
      <c r="F32" s="6">
        <f>'Link In'!C26</f>
        <v>96878</v>
      </c>
      <c r="G32" s="6">
        <f>'Link In'!D26</f>
        <v>0</v>
      </c>
      <c r="H32" s="6">
        <f t="shared" si="10"/>
        <v>96878</v>
      </c>
      <c r="I32" s="67"/>
      <c r="J32" s="65"/>
      <c r="K32" s="3"/>
      <c r="L32" s="51"/>
      <c r="M32" s="51"/>
      <c r="Q32" s="25">
        <f t="shared" si="11"/>
        <v>96878</v>
      </c>
      <c r="R32" s="45">
        <f>'[6]Sch M'!Q27</f>
        <v>96878</v>
      </c>
      <c r="S32" s="25" t="b">
        <f t="shared" si="12"/>
        <v>1</v>
      </c>
    </row>
    <row r="33" spans="1:19" x14ac:dyDescent="0.25">
      <c r="A33" s="4">
        <v>19</v>
      </c>
      <c r="B33" s="3" t="s">
        <v>56</v>
      </c>
      <c r="C33" s="3" t="str">
        <f t="shared" ca="1" si="13"/>
        <v>Discovery\PSC\Support\PSCDR2_NUM011\[KAWC 2018 Rate Case - Revenue DR11.xlsx]Sch M</v>
      </c>
      <c r="D33" s="6">
        <f>'Link In'!B27</f>
        <v>154932</v>
      </c>
      <c r="E33" s="6">
        <f t="shared" si="9"/>
        <v>-2</v>
      </c>
      <c r="F33" s="6">
        <f>'Link In'!C27</f>
        <v>154930</v>
      </c>
      <c r="G33" s="6">
        <f>'Link In'!D27</f>
        <v>0</v>
      </c>
      <c r="H33" s="6">
        <f t="shared" si="10"/>
        <v>154930</v>
      </c>
      <c r="I33" s="65"/>
      <c r="J33" s="65"/>
      <c r="K33" s="3"/>
      <c r="L33" s="51"/>
      <c r="M33" s="51"/>
      <c r="O33" s="44"/>
      <c r="Q33" s="25">
        <f t="shared" si="11"/>
        <v>154930</v>
      </c>
      <c r="R33" s="45">
        <f>'[6]Sch M'!Q28</f>
        <v>154930</v>
      </c>
      <c r="S33" s="25" t="b">
        <f t="shared" si="12"/>
        <v>1</v>
      </c>
    </row>
    <row r="34" spans="1:19" x14ac:dyDescent="0.25">
      <c r="A34" s="4">
        <v>20</v>
      </c>
      <c r="B34" s="3" t="s">
        <v>58</v>
      </c>
      <c r="C34" s="3" t="str">
        <f t="shared" ca="1" si="13"/>
        <v>Discovery\PSC\Support\PSCDR2_NUM011\[KAWC 2018 Rate Case - Revenue DR11.xlsx]Sch M</v>
      </c>
      <c r="D34" s="6">
        <f>'Link In'!B28</f>
        <v>0</v>
      </c>
      <c r="E34" s="6">
        <f t="shared" si="9"/>
        <v>0</v>
      </c>
      <c r="F34" s="6">
        <f>'Link In'!C28</f>
        <v>0</v>
      </c>
      <c r="G34" s="6">
        <f>'Link In'!D28</f>
        <v>0</v>
      </c>
      <c r="H34" s="6">
        <f t="shared" si="10"/>
        <v>0</v>
      </c>
      <c r="I34" s="65"/>
      <c r="J34" s="65"/>
      <c r="K34" s="3"/>
      <c r="L34" s="51"/>
      <c r="M34" s="51"/>
      <c r="Q34" s="25">
        <f t="shared" si="11"/>
        <v>0</v>
      </c>
      <c r="R34" s="45">
        <f>'[6]Sch M'!Q29</f>
        <v>0</v>
      </c>
      <c r="S34" s="25" t="b">
        <f t="shared" si="12"/>
        <v>1</v>
      </c>
    </row>
    <row r="35" spans="1:19" x14ac:dyDescent="0.25">
      <c r="A35" s="4">
        <v>21</v>
      </c>
      <c r="B35" s="3" t="s">
        <v>59</v>
      </c>
      <c r="C35" s="3" t="str">
        <f t="shared" ca="1" si="13"/>
        <v>Discovery\PSC\Support\PSCDR2_NUM011\[KAWC 2018 Rate Case - Revenue DR11.xlsx]Sch M</v>
      </c>
      <c r="D35" s="6">
        <f>'Link In'!B29</f>
        <v>30420</v>
      </c>
      <c r="E35" s="6">
        <f t="shared" si="9"/>
        <v>420</v>
      </c>
      <c r="F35" s="6">
        <f>'Link In'!C29</f>
        <v>30840</v>
      </c>
      <c r="G35" s="6">
        <f>'Link In'!D29</f>
        <v>0</v>
      </c>
      <c r="H35" s="6">
        <f t="shared" si="10"/>
        <v>30840</v>
      </c>
      <c r="I35" s="65"/>
      <c r="J35" s="65"/>
      <c r="K35" s="11"/>
      <c r="L35" s="51"/>
      <c r="M35" s="51"/>
      <c r="Q35" s="25">
        <f t="shared" si="11"/>
        <v>30840</v>
      </c>
      <c r="R35" s="45">
        <f>'[6]Sch M'!Q30</f>
        <v>30840</v>
      </c>
      <c r="S35" s="25" t="b">
        <f t="shared" si="12"/>
        <v>1</v>
      </c>
    </row>
    <row r="36" spans="1:19" x14ac:dyDescent="0.25">
      <c r="A36" s="4">
        <v>22</v>
      </c>
      <c r="B36" s="3" t="s">
        <v>66</v>
      </c>
      <c r="C36" s="3" t="str">
        <f t="shared" ca="1" si="13"/>
        <v>Discovery\PSC\Support\PSCDR2_NUM011\[KAWC 2018 Rate Case - Revenue DR11.xlsx]Sch M</v>
      </c>
      <c r="D36" s="6">
        <f>'Link In'!B30</f>
        <v>776520</v>
      </c>
      <c r="E36" s="6">
        <f t="shared" si="9"/>
        <v>-10839</v>
      </c>
      <c r="F36" s="6">
        <f>'Link In'!C30</f>
        <v>765681</v>
      </c>
      <c r="G36" s="6">
        <f>'Link In'!D30</f>
        <v>0</v>
      </c>
      <c r="H36" s="6">
        <f t="shared" si="10"/>
        <v>765681</v>
      </c>
      <c r="I36" s="65"/>
      <c r="J36" s="65"/>
      <c r="K36" s="11"/>
      <c r="L36" s="51"/>
      <c r="M36" s="51"/>
      <c r="Q36" s="25">
        <f t="shared" si="11"/>
        <v>765681</v>
      </c>
      <c r="R36" s="45">
        <f>'[6]Sch M'!Q31</f>
        <v>765681</v>
      </c>
      <c r="S36" s="25" t="b">
        <f t="shared" si="12"/>
        <v>1</v>
      </c>
    </row>
    <row r="37" spans="1:19" x14ac:dyDescent="0.25">
      <c r="A37" s="4">
        <v>23</v>
      </c>
      <c r="B37" s="3" t="s">
        <v>57</v>
      </c>
      <c r="C37" s="3" t="str">
        <f t="shared" ca="1" si="13"/>
        <v>Discovery\PSC\Support\PSCDR2_NUM011\[KAWC 2018 Rate Case - Revenue DR11.xlsx]Sch M</v>
      </c>
      <c r="D37" s="6">
        <f>'Link In'!B31</f>
        <v>51797</v>
      </c>
      <c r="E37" s="6">
        <f t="shared" si="9"/>
        <v>-259</v>
      </c>
      <c r="F37" s="6">
        <f>'Link In'!C31</f>
        <v>51538</v>
      </c>
      <c r="G37" s="6">
        <f>'Link In'!D31</f>
        <v>0</v>
      </c>
      <c r="H37" s="6">
        <f t="shared" si="10"/>
        <v>51538</v>
      </c>
      <c r="I37" s="65"/>
      <c r="J37" s="65"/>
      <c r="K37" s="11"/>
      <c r="L37" s="51"/>
      <c r="M37" s="51"/>
      <c r="Q37" s="25">
        <f t="shared" si="11"/>
        <v>51538</v>
      </c>
      <c r="R37" s="45">
        <f>'[6]Sch M'!Q32</f>
        <v>51538</v>
      </c>
      <c r="S37" s="25" t="b">
        <f t="shared" si="12"/>
        <v>1</v>
      </c>
    </row>
    <row r="38" spans="1:19" x14ac:dyDescent="0.25">
      <c r="A38" s="4">
        <v>24</v>
      </c>
      <c r="B38" s="3" t="s">
        <v>67</v>
      </c>
      <c r="C38" s="3" t="str">
        <f t="shared" ca="1" si="13"/>
        <v>Discovery\PSC\Support\PSCDR2_NUM011\[KAWC 2018 Rate Case - Revenue DR11.xlsx]Sch M</v>
      </c>
      <c r="D38" s="6">
        <f>'Link In'!B32</f>
        <v>573394</v>
      </c>
      <c r="E38" s="6">
        <f t="shared" si="9"/>
        <v>25470</v>
      </c>
      <c r="F38" s="6">
        <f>'Link In'!C32</f>
        <v>598864</v>
      </c>
      <c r="G38" s="6">
        <f>'Link In'!D32</f>
        <v>0</v>
      </c>
      <c r="H38" s="6">
        <f t="shared" si="10"/>
        <v>598864</v>
      </c>
      <c r="I38" s="65"/>
      <c r="J38" s="65"/>
      <c r="K38" s="11"/>
      <c r="L38" s="51"/>
      <c r="M38" s="51"/>
      <c r="Q38" s="25">
        <f t="shared" si="11"/>
        <v>598864</v>
      </c>
      <c r="R38" s="45">
        <f>'[6]Sch M'!Q33</f>
        <v>598864</v>
      </c>
      <c r="S38" s="25" t="b">
        <f t="shared" si="12"/>
        <v>1</v>
      </c>
    </row>
    <row r="39" spans="1:19" x14ac:dyDescent="0.25">
      <c r="A39" s="4">
        <v>25</v>
      </c>
      <c r="B39" s="3" t="s">
        <v>60</v>
      </c>
      <c r="C39" s="3" t="str">
        <f t="shared" ca="1" si="13"/>
        <v>Discovery\PSC\Support\PSCDR2_NUM011\[KAWC 2018 Rate Case - Revenue DR11.xlsx]Sch M</v>
      </c>
      <c r="D39" s="6">
        <f>'Link In'!B33</f>
        <v>165</v>
      </c>
      <c r="E39" s="6">
        <f t="shared" si="9"/>
        <v>-165</v>
      </c>
      <c r="F39" s="6">
        <f>'Link In'!C33</f>
        <v>0</v>
      </c>
      <c r="G39" s="6">
        <f>'Link In'!D33</f>
        <v>0</v>
      </c>
      <c r="H39" s="6">
        <f t="shared" si="10"/>
        <v>0</v>
      </c>
      <c r="I39" s="65"/>
      <c r="J39" s="65"/>
      <c r="K39" s="11"/>
      <c r="L39" s="51"/>
      <c r="M39" s="51"/>
      <c r="Q39" s="25">
        <f t="shared" si="11"/>
        <v>0</v>
      </c>
      <c r="R39" s="45">
        <f>'[6]Sch M'!Q34</f>
        <v>0</v>
      </c>
      <c r="S39" s="25" t="b">
        <f t="shared" si="12"/>
        <v>1</v>
      </c>
    </row>
    <row r="40" spans="1:19" x14ac:dyDescent="0.25">
      <c r="A40" s="4">
        <v>26</v>
      </c>
      <c r="B40" s="3" t="s">
        <v>61</v>
      </c>
      <c r="C40" s="3" t="str">
        <f t="shared" ca="1" si="13"/>
        <v>Discovery\PSC\Support\PSCDR2_NUM011\[KAWC 2018 Rate Case - Revenue DR11.xlsx]Sch M</v>
      </c>
      <c r="D40" s="6">
        <f>'Link In'!B34</f>
        <v>0</v>
      </c>
      <c r="E40" s="6">
        <f t="shared" si="9"/>
        <v>0</v>
      </c>
      <c r="F40" s="6">
        <f>'Link In'!C34</f>
        <v>0</v>
      </c>
      <c r="G40" s="6">
        <f>'Link In'!D34</f>
        <v>0</v>
      </c>
      <c r="H40" s="6">
        <f t="shared" si="10"/>
        <v>0</v>
      </c>
      <c r="I40" s="66"/>
      <c r="J40" s="65"/>
      <c r="K40" s="11"/>
      <c r="L40" s="52"/>
      <c r="M40" s="52"/>
      <c r="Q40" s="25">
        <f t="shared" si="11"/>
        <v>0</v>
      </c>
      <c r="R40" s="45">
        <f>'[6]Sch M'!Q35</f>
        <v>0</v>
      </c>
      <c r="S40" s="25" t="b">
        <f t="shared" si="12"/>
        <v>1</v>
      </c>
    </row>
    <row r="41" spans="1:19" x14ac:dyDescent="0.25">
      <c r="A41" s="4">
        <v>27</v>
      </c>
      <c r="B41" s="26" t="s">
        <v>20</v>
      </c>
      <c r="C41" s="3"/>
      <c r="D41" s="106">
        <f>SUM(D30:D40)</f>
        <v>2520765</v>
      </c>
      <c r="E41" s="106">
        <f>SUM(E30:E40)</f>
        <v>-48460</v>
      </c>
      <c r="F41" s="106">
        <f>SUM(F30:F40)</f>
        <v>2472305</v>
      </c>
      <c r="G41" s="106">
        <f>SUM(G30:G40)</f>
        <v>0</v>
      </c>
      <c r="H41" s="106">
        <f>SUM(H30:H40)</f>
        <v>2472305</v>
      </c>
      <c r="I41" s="63"/>
      <c r="J41" s="63"/>
      <c r="K41" s="11"/>
      <c r="L41" s="51"/>
      <c r="M41" s="51"/>
      <c r="O41" s="25"/>
      <c r="Q41" s="25">
        <f>SUM(Q30:Q40)</f>
        <v>2472305</v>
      </c>
      <c r="R41" s="25">
        <f t="shared" ref="R41" si="14">SUM(R30:R40)</f>
        <v>2472305</v>
      </c>
      <c r="S41" s="25" t="b">
        <f t="shared" si="12"/>
        <v>1</v>
      </c>
    </row>
    <row r="42" spans="1:19" x14ac:dyDescent="0.25">
      <c r="A42" s="4">
        <v>28</v>
      </c>
      <c r="B42" s="3"/>
      <c r="C42" s="3"/>
      <c r="D42" s="105"/>
      <c r="E42" s="105"/>
      <c r="F42" s="105"/>
      <c r="G42" s="105"/>
      <c r="H42" s="105"/>
      <c r="I42" s="62"/>
      <c r="J42" s="62"/>
      <c r="K42" s="11"/>
    </row>
    <row r="43" spans="1:19" x14ac:dyDescent="0.25">
      <c r="A43" s="4">
        <v>29</v>
      </c>
      <c r="B43" s="3"/>
      <c r="C43" s="3"/>
      <c r="D43" s="6"/>
      <c r="E43" s="6"/>
      <c r="F43" s="6"/>
      <c r="G43" s="6"/>
      <c r="H43" s="6"/>
      <c r="I43" s="62"/>
      <c r="J43" s="62"/>
      <c r="K43" s="11"/>
    </row>
    <row r="44" spans="1:19" ht="15.75" thickBot="1" x14ac:dyDescent="0.3">
      <c r="A44" s="4">
        <v>30</v>
      </c>
      <c r="B44" s="26" t="s">
        <v>21</v>
      </c>
      <c r="C44" s="3"/>
      <c r="D44" s="114">
        <f>D26+D41</f>
        <v>91490672</v>
      </c>
      <c r="E44" s="114">
        <f t="shared" ref="E44:H44" si="15">E26+E41</f>
        <v>-4722665</v>
      </c>
      <c r="F44" s="114">
        <f>F26+F41</f>
        <v>86768007</v>
      </c>
      <c r="G44" s="114">
        <f t="shared" si="15"/>
        <v>19540370</v>
      </c>
      <c r="H44" s="114">
        <f t="shared" si="15"/>
        <v>106308377</v>
      </c>
      <c r="I44" s="62"/>
      <c r="J44" s="62"/>
      <c r="K44" s="12"/>
      <c r="L44" s="55"/>
    </row>
    <row r="45" spans="1:19" ht="15.75" thickTop="1" x14ac:dyDescent="0.25">
      <c r="A45" s="4"/>
      <c r="B45" s="3"/>
      <c r="C45" s="11"/>
      <c r="D45" s="107"/>
      <c r="E45" s="107"/>
      <c r="F45" s="107"/>
      <c r="G45" s="107"/>
      <c r="H45" s="107"/>
      <c r="I45" s="68"/>
      <c r="J45" s="68"/>
      <c r="M45" s="54"/>
    </row>
    <row r="46" spans="1:19" x14ac:dyDescent="0.25">
      <c r="A46" s="4"/>
      <c r="B46" s="3"/>
      <c r="C46" s="11"/>
      <c r="D46" s="108"/>
      <c r="E46" s="108"/>
      <c r="F46" s="108"/>
      <c r="G46" s="108"/>
      <c r="H46" s="108"/>
      <c r="I46" s="68"/>
      <c r="J46" s="68"/>
    </row>
    <row r="47" spans="1:19" x14ac:dyDescent="0.25">
      <c r="A47" s="4"/>
      <c r="B47" s="3"/>
      <c r="C47" s="11"/>
      <c r="D47" s="108"/>
      <c r="E47" s="108"/>
      <c r="F47" s="108"/>
      <c r="G47" s="108"/>
      <c r="H47" s="108"/>
      <c r="I47" s="68"/>
      <c r="J47" s="68"/>
    </row>
    <row r="48" spans="1:19" x14ac:dyDescent="0.25">
      <c r="A48" s="4"/>
      <c r="B48" s="3"/>
      <c r="C48" s="11"/>
      <c r="D48" s="108"/>
      <c r="E48" s="108"/>
      <c r="F48" s="108"/>
      <c r="G48" s="108"/>
      <c r="H48" s="108"/>
      <c r="I48" s="68"/>
      <c r="J48" s="68"/>
    </row>
    <row r="49" spans="1:10" x14ac:dyDescent="0.25">
      <c r="A49" s="4"/>
      <c r="B49" s="3"/>
      <c r="C49" s="11"/>
      <c r="D49" s="108"/>
      <c r="E49" s="108"/>
      <c r="F49" s="108"/>
      <c r="G49" s="108"/>
      <c r="H49" s="108" t="s">
        <v>10</v>
      </c>
      <c r="I49" s="68"/>
      <c r="J49" s="68"/>
    </row>
    <row r="50" spans="1:10" x14ac:dyDescent="0.25">
      <c r="A50" s="4"/>
      <c r="B50" s="5"/>
      <c r="C50" s="12"/>
      <c r="D50" s="109"/>
      <c r="E50" s="109"/>
      <c r="F50" s="109"/>
      <c r="G50" s="109"/>
      <c r="H50" s="109"/>
      <c r="I50" s="69"/>
      <c r="J50" s="69"/>
    </row>
    <row r="51" spans="1:10" x14ac:dyDescent="0.25">
      <c r="D51" s="110"/>
      <c r="E51" s="110"/>
      <c r="F51" s="110"/>
      <c r="G51" s="110"/>
      <c r="H51" s="110"/>
      <c r="I51" s="70"/>
      <c r="J51" s="70"/>
    </row>
    <row r="52" spans="1:10" x14ac:dyDescent="0.25">
      <c r="D52" s="111"/>
      <c r="E52" s="111"/>
      <c r="F52" s="111"/>
      <c r="G52" s="111"/>
      <c r="H52" s="111"/>
      <c r="I52" s="71"/>
      <c r="J52" s="71"/>
    </row>
    <row r="53" spans="1:10" x14ac:dyDescent="0.25">
      <c r="D53" s="110"/>
      <c r="E53" s="110"/>
      <c r="F53" s="110"/>
      <c r="G53" s="110"/>
      <c r="H53" s="110"/>
      <c r="I53" s="70"/>
      <c r="J53" s="70"/>
    </row>
    <row r="54" spans="1:10" x14ac:dyDescent="0.25">
      <c r="D54" s="110"/>
      <c r="E54" s="110"/>
      <c r="F54" s="112"/>
      <c r="G54" s="110"/>
      <c r="H54" s="110"/>
      <c r="I54" s="70"/>
      <c r="J54" s="70"/>
    </row>
    <row r="55" spans="1:10" x14ac:dyDescent="0.25">
      <c r="D55" s="110"/>
      <c r="E55" s="110"/>
      <c r="F55" s="110"/>
      <c r="G55" s="110"/>
      <c r="H55" s="110"/>
      <c r="I55" s="70"/>
      <c r="J55" s="70"/>
    </row>
    <row r="56" spans="1:10" x14ac:dyDescent="0.25">
      <c r="D56" s="110"/>
      <c r="E56" s="110"/>
      <c r="F56" s="110"/>
      <c r="G56" s="110"/>
      <c r="H56" s="110"/>
      <c r="I56" s="70"/>
      <c r="J56" s="70"/>
    </row>
    <row r="57" spans="1:10" x14ac:dyDescent="0.25">
      <c r="D57" s="110"/>
      <c r="E57" s="110"/>
      <c r="F57" s="110"/>
      <c r="G57" s="110"/>
      <c r="H57" s="110"/>
      <c r="I57" s="70"/>
      <c r="J57" s="70"/>
    </row>
    <row r="58" spans="1:10" x14ac:dyDescent="0.25">
      <c r="D58" s="110"/>
      <c r="E58" s="110"/>
      <c r="F58" s="110"/>
      <c r="G58" s="110"/>
      <c r="H58" s="110"/>
      <c r="I58" s="70"/>
      <c r="J58" s="70"/>
    </row>
    <row r="59" spans="1:10" x14ac:dyDescent="0.25">
      <c r="D59" s="110"/>
      <c r="E59" s="110"/>
      <c r="F59" s="110"/>
      <c r="G59" s="110"/>
      <c r="H59" s="110"/>
      <c r="I59" s="70"/>
      <c r="J59" s="70"/>
    </row>
    <row r="60" spans="1:10" x14ac:dyDescent="0.25">
      <c r="D60" s="110"/>
      <c r="E60" s="110"/>
      <c r="F60" s="110"/>
      <c r="G60" s="110"/>
      <c r="H60" s="110"/>
      <c r="I60" s="70"/>
      <c r="J60" s="70"/>
    </row>
    <row r="61" spans="1:10" x14ac:dyDescent="0.25">
      <c r="D61" s="110"/>
      <c r="E61" s="110"/>
      <c r="F61" s="110"/>
      <c r="G61" s="110"/>
      <c r="H61" s="110"/>
      <c r="I61" s="70"/>
      <c r="J61" s="70"/>
    </row>
    <row r="62" spans="1:10" x14ac:dyDescent="0.25">
      <c r="I62" s="70"/>
      <c r="J62" s="70"/>
    </row>
    <row r="63" spans="1:10" x14ac:dyDescent="0.25">
      <c r="I63" s="70"/>
      <c r="J63" s="70"/>
    </row>
    <row r="64" spans="1:10" x14ac:dyDescent="0.25">
      <c r="I64" s="70"/>
      <c r="J64" s="70"/>
    </row>
    <row r="65" spans="9:10" x14ac:dyDescent="0.25">
      <c r="I65" s="70"/>
      <c r="J65" s="70"/>
    </row>
    <row r="66" spans="9:10" x14ac:dyDescent="0.25">
      <c r="I66" s="70"/>
      <c r="J66" s="70"/>
    </row>
    <row r="67" spans="9:10" x14ac:dyDescent="0.25">
      <c r="I67" s="70"/>
      <c r="J67" s="70"/>
    </row>
    <row r="68" spans="9:10" x14ac:dyDescent="0.25">
      <c r="I68" s="70"/>
      <c r="J68" s="70"/>
    </row>
    <row r="69" spans="9:10" x14ac:dyDescent="0.25">
      <c r="I69" s="70"/>
      <c r="J69" s="70"/>
    </row>
    <row r="70" spans="9:10" x14ac:dyDescent="0.25">
      <c r="I70" s="70"/>
      <c r="J70" s="70"/>
    </row>
    <row r="71" spans="9:10" x14ac:dyDescent="0.25">
      <c r="I71" s="70"/>
      <c r="J71" s="70"/>
    </row>
    <row r="72" spans="9:10" x14ac:dyDescent="0.25">
      <c r="I72" s="70"/>
      <c r="J72" s="70"/>
    </row>
    <row r="73" spans="9:10" x14ac:dyDescent="0.25">
      <c r="I73" s="70"/>
      <c r="J73" s="70"/>
    </row>
    <row r="74" spans="9:10" x14ac:dyDescent="0.25">
      <c r="I74" s="70"/>
      <c r="J74" s="70"/>
    </row>
    <row r="75" spans="9:10" x14ac:dyDescent="0.25">
      <c r="I75" s="70"/>
      <c r="J75" s="70"/>
    </row>
    <row r="76" spans="9:10" x14ac:dyDescent="0.25">
      <c r="I76" s="70"/>
      <c r="J76" s="70"/>
    </row>
    <row r="77" spans="9:10" x14ac:dyDescent="0.25">
      <c r="I77" s="70"/>
      <c r="J77" s="70"/>
    </row>
    <row r="78" spans="9:10" x14ac:dyDescent="0.25">
      <c r="I78" s="70"/>
      <c r="J78" s="70"/>
    </row>
  </sheetData>
  <mergeCells count="6">
    <mergeCell ref="V12:X12"/>
    <mergeCell ref="L12:N12"/>
    <mergeCell ref="A4:H4"/>
    <mergeCell ref="A5:H5"/>
    <mergeCell ref="A6:H6"/>
    <mergeCell ref="A7:H7"/>
  </mergeCells>
  <pageMargins left="0.7" right="0.7" top="0.75" bottom="0.75" header="0.3" footer="0.3"/>
  <pageSetup scale="70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F43" sqref="F43"/>
    </sheetView>
  </sheetViews>
  <sheetFormatPr defaultColWidth="9.140625" defaultRowHeight="12.75" x14ac:dyDescent="0.2"/>
  <cols>
    <col min="1" max="1" width="6.7109375" style="16" customWidth="1"/>
    <col min="2" max="2" width="33.85546875" style="16" customWidth="1"/>
    <col min="3" max="3" width="73.42578125" style="16" customWidth="1"/>
    <col min="4" max="6" width="14" style="16" customWidth="1"/>
    <col min="7" max="7" width="15.7109375" style="16" customWidth="1"/>
    <col min="8" max="9" width="14" style="16" customWidth="1"/>
    <col min="10" max="16384" width="9.140625" style="16"/>
  </cols>
  <sheetData>
    <row r="1" spans="1:10" x14ac:dyDescent="0.2">
      <c r="A1" s="96"/>
      <c r="F1" s="18"/>
      <c r="G1" s="18"/>
    </row>
    <row r="2" spans="1:10" x14ac:dyDescent="0.2">
      <c r="A2" s="96"/>
      <c r="F2" s="18"/>
      <c r="G2" s="18"/>
      <c r="J2" s="26"/>
    </row>
    <row r="3" spans="1:10" x14ac:dyDescent="0.2">
      <c r="J3" s="119"/>
    </row>
    <row r="4" spans="1:10" x14ac:dyDescent="0.2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J4" s="119"/>
    </row>
    <row r="5" spans="1:10" x14ac:dyDescent="0.2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26"/>
    </row>
    <row r="6" spans="1:10" x14ac:dyDescent="0.2">
      <c r="A6" s="134" t="s">
        <v>128</v>
      </c>
      <c r="B6" s="134"/>
      <c r="C6" s="134"/>
      <c r="D6" s="134"/>
      <c r="E6" s="134"/>
      <c r="F6" s="134"/>
      <c r="G6" s="134"/>
      <c r="H6" s="134"/>
      <c r="I6" s="119"/>
    </row>
    <row r="7" spans="1:10" x14ac:dyDescent="0.2">
      <c r="A7" s="134" t="s">
        <v>130</v>
      </c>
      <c r="B7" s="134"/>
      <c r="C7" s="134"/>
      <c r="D7" s="134"/>
      <c r="E7" s="134"/>
      <c r="F7" s="134"/>
      <c r="G7" s="134"/>
      <c r="H7" s="134"/>
      <c r="I7" s="119"/>
    </row>
    <row r="8" spans="1:10" ht="15" customHeight="1" x14ac:dyDescent="0.2">
      <c r="I8" s="26"/>
    </row>
    <row r="9" spans="1:10" x14ac:dyDescent="0.2">
      <c r="A9" s="50" t="str">
        <f>'Link In'!A55</f>
        <v>Witness Responsible:   Melissa Schwarzell</v>
      </c>
      <c r="H9" s="87" t="str">
        <f>Exhibit!H9</f>
        <v>Exhibit 37, Schedule M-1</v>
      </c>
    </row>
    <row r="10" spans="1:10" x14ac:dyDescent="0.2">
      <c r="A10" s="50" t="str">
        <f>'Link In'!A4</f>
        <v/>
      </c>
      <c r="H10" s="87" t="str">
        <f ca="1">Exhibit!H10</f>
        <v>Discovery\PSC\Attachment\[KAW_R_PSCDR2_NUM011_012519_Attachment_2_Exhibit 37_Schedule M-1.xlsx]Exhibit</v>
      </c>
    </row>
    <row r="12" spans="1:10" x14ac:dyDescent="0.2">
      <c r="A12" s="15" t="s">
        <v>36</v>
      </c>
      <c r="B12" s="14"/>
      <c r="C12" s="15" t="s">
        <v>23</v>
      </c>
      <c r="D12" s="14"/>
      <c r="E12" s="14"/>
      <c r="F12" s="14"/>
      <c r="G12" s="15" t="s">
        <v>26</v>
      </c>
      <c r="H12" s="15" t="s">
        <v>100</v>
      </c>
    </row>
    <row r="13" spans="1:10" x14ac:dyDescent="0.2">
      <c r="A13" s="100" t="s">
        <v>37</v>
      </c>
      <c r="B13" s="100" t="s">
        <v>2</v>
      </c>
      <c r="C13" s="100" t="s">
        <v>24</v>
      </c>
      <c r="D13" s="100" t="s">
        <v>27</v>
      </c>
      <c r="E13" s="100" t="s">
        <v>28</v>
      </c>
      <c r="F13" s="100" t="s">
        <v>29</v>
      </c>
      <c r="G13" s="100" t="s">
        <v>30</v>
      </c>
      <c r="H13" s="100" t="s">
        <v>101</v>
      </c>
    </row>
    <row r="15" spans="1:10" x14ac:dyDescent="0.2">
      <c r="A15" s="49">
        <v>1</v>
      </c>
    </row>
    <row r="16" spans="1:10" ht="38.25" x14ac:dyDescent="0.2">
      <c r="A16" s="49">
        <v>2</v>
      </c>
      <c r="B16" s="131" t="s">
        <v>139</v>
      </c>
      <c r="C16" s="132" t="str">
        <f ca="1">Exhibit!C17</f>
        <v>Discovery\PSC\Support\PSCDR2_NUM011\[KAWC 2018 Rate Case - Revenue DR11.xlsx]Sch M</v>
      </c>
      <c r="D16" s="102">
        <f>-'Link In'!E7</f>
        <v>-2600055</v>
      </c>
      <c r="E16" s="102">
        <f>-'Link In'!E8</f>
        <v>-1325724</v>
      </c>
      <c r="F16" s="102">
        <f>-'Link In'!E9</f>
        <v>-297321</v>
      </c>
      <c r="G16" s="102">
        <f>-'Link In'!E10</f>
        <v>-82246</v>
      </c>
      <c r="H16" s="102">
        <f>-'Link In'!E11</f>
        <v>-186711</v>
      </c>
    </row>
    <row r="17" spans="1:9" x14ac:dyDescent="0.2">
      <c r="A17" s="49">
        <v>3</v>
      </c>
      <c r="B17" s="16" t="s">
        <v>63</v>
      </c>
      <c r="C17" s="56"/>
      <c r="D17" s="115">
        <f>-'Link In'!C7</f>
        <v>-416113</v>
      </c>
      <c r="E17" s="115">
        <f>-'Link In'!C8</f>
        <v>-427146</v>
      </c>
      <c r="F17" s="115">
        <f>-'Link In'!C9</f>
        <v>-28117</v>
      </c>
      <c r="G17" s="115">
        <f>-'Link In'!C10</f>
        <v>-271611</v>
      </c>
      <c r="H17" s="115">
        <f>-'Link In'!C11</f>
        <v>-39606</v>
      </c>
    </row>
    <row r="18" spans="1:9" x14ac:dyDescent="0.2">
      <c r="A18" s="49">
        <v>4</v>
      </c>
      <c r="C18" s="56"/>
      <c r="D18" s="115"/>
      <c r="E18" s="115"/>
      <c r="F18" s="115"/>
      <c r="G18" s="115"/>
      <c r="H18" s="115">
        <f>-'Link In'!D11</f>
        <v>0</v>
      </c>
    </row>
    <row r="19" spans="1:9" x14ac:dyDescent="0.2">
      <c r="A19" s="49">
        <v>5</v>
      </c>
      <c r="D19" s="115"/>
      <c r="E19" s="115"/>
      <c r="F19" s="115"/>
      <c r="G19" s="115"/>
      <c r="H19" s="115"/>
    </row>
    <row r="20" spans="1:9" x14ac:dyDescent="0.2">
      <c r="A20" s="49">
        <v>6</v>
      </c>
      <c r="D20" s="115"/>
      <c r="E20" s="115"/>
      <c r="F20" s="115"/>
      <c r="G20" s="115"/>
      <c r="H20" s="115"/>
    </row>
    <row r="21" spans="1:9" ht="13.5" thickBot="1" x14ac:dyDescent="0.25">
      <c r="A21" s="49">
        <v>7</v>
      </c>
      <c r="B21" s="16" t="s">
        <v>25</v>
      </c>
      <c r="D21" s="116">
        <f>SUM(D16:D20)</f>
        <v>-3016168</v>
      </c>
      <c r="E21" s="116">
        <f>SUM(E16:E20)</f>
        <v>-1752870</v>
      </c>
      <c r="F21" s="116">
        <f>SUM(F16:F20)</f>
        <v>-325438</v>
      </c>
      <c r="G21" s="116">
        <f>SUM(G16:G20)</f>
        <v>-353857</v>
      </c>
      <c r="H21" s="116">
        <f>SUM(H16:H20)</f>
        <v>-226317</v>
      </c>
    </row>
    <row r="22" spans="1:9" ht="13.5" thickTop="1" x14ac:dyDescent="0.2">
      <c r="A22" s="49">
        <v>8</v>
      </c>
      <c r="B22" s="134"/>
      <c r="C22" s="134"/>
      <c r="D22" s="134"/>
      <c r="E22" s="134"/>
      <c r="F22" s="134"/>
      <c r="G22" s="134"/>
      <c r="H22" s="134"/>
      <c r="I22" s="134"/>
    </row>
    <row r="23" spans="1:9" x14ac:dyDescent="0.2">
      <c r="A23" s="49">
        <v>9</v>
      </c>
      <c r="B23" s="85"/>
      <c r="C23" s="85"/>
      <c r="D23" s="85"/>
      <c r="E23" s="85"/>
      <c r="F23" s="85"/>
      <c r="G23" s="85"/>
      <c r="H23" s="85"/>
      <c r="I23" s="85"/>
    </row>
    <row r="24" spans="1:9" x14ac:dyDescent="0.2">
      <c r="A24" s="49">
        <v>10</v>
      </c>
      <c r="B24" s="85"/>
      <c r="C24" s="85"/>
      <c r="D24" s="85"/>
      <c r="E24" s="85"/>
      <c r="F24" s="85"/>
      <c r="G24" s="85"/>
      <c r="H24" s="85"/>
      <c r="I24" s="85"/>
    </row>
    <row r="25" spans="1:9" x14ac:dyDescent="0.2">
      <c r="A25" s="49">
        <v>11</v>
      </c>
      <c r="B25" s="85"/>
      <c r="C25" s="85"/>
      <c r="D25" s="15" t="s">
        <v>118</v>
      </c>
      <c r="E25" s="15" t="s">
        <v>119</v>
      </c>
      <c r="F25" s="15"/>
      <c r="G25" s="15" t="s">
        <v>93</v>
      </c>
      <c r="I25" s="85"/>
    </row>
    <row r="26" spans="1:9" x14ac:dyDescent="0.2">
      <c r="A26" s="49">
        <v>12</v>
      </c>
      <c r="B26" s="85"/>
      <c r="C26" s="85"/>
      <c r="D26" s="100" t="s">
        <v>31</v>
      </c>
      <c r="E26" s="100" t="s">
        <v>31</v>
      </c>
      <c r="F26" s="100" t="s">
        <v>64</v>
      </c>
      <c r="G26" s="100" t="s">
        <v>94</v>
      </c>
      <c r="H26" s="100" t="s">
        <v>25</v>
      </c>
      <c r="I26" s="85"/>
    </row>
    <row r="27" spans="1:9" x14ac:dyDescent="0.2">
      <c r="A27" s="49">
        <v>13</v>
      </c>
      <c r="B27" s="130"/>
      <c r="C27" s="130"/>
      <c r="I27" s="85"/>
    </row>
    <row r="28" spans="1:9" x14ac:dyDescent="0.2">
      <c r="A28" s="49">
        <v>14</v>
      </c>
      <c r="B28" s="130"/>
      <c r="C28" s="130"/>
      <c r="I28" s="85"/>
    </row>
    <row r="29" spans="1:9" ht="38.25" x14ac:dyDescent="0.2">
      <c r="A29" s="49">
        <v>15</v>
      </c>
      <c r="B29" s="131" t="s">
        <v>139</v>
      </c>
      <c r="C29" s="132" t="str">
        <f ca="1">C16</f>
        <v>Discovery\PSC\Support\PSCDR2_NUM011\[KAWC 2018 Rate Case - Revenue DR11.xlsx]Sch M</v>
      </c>
      <c r="D29" s="102">
        <f>-'Link In'!E12</f>
        <v>-136731</v>
      </c>
      <c r="E29" s="102">
        <f>-'Link In'!E13</f>
        <v>-196095</v>
      </c>
      <c r="F29" s="102">
        <f>-'Link In'!E14</f>
        <v>1343000</v>
      </c>
      <c r="G29" s="102">
        <f>-'Link In'!E15</f>
        <v>0</v>
      </c>
      <c r="H29" s="102">
        <f>SUM(D16:H16,D29:G29)</f>
        <v>-3481883</v>
      </c>
      <c r="I29" s="85"/>
    </row>
    <row r="30" spans="1:9" x14ac:dyDescent="0.2">
      <c r="A30" s="49">
        <v>16</v>
      </c>
      <c r="B30" s="16" t="s">
        <v>63</v>
      </c>
      <c r="C30" s="56"/>
      <c r="D30" s="115">
        <f>+-'Link In'!C12</f>
        <v>-11165</v>
      </c>
      <c r="E30" s="115">
        <f>+-'Link In'!C13</f>
        <v>6</v>
      </c>
      <c r="F30" s="115">
        <f>+-'Link In'!C14</f>
        <v>1430</v>
      </c>
      <c r="G30" s="115"/>
      <c r="H30" s="115">
        <f>SUM(D17:H17,D30:G30)</f>
        <v>-1192322</v>
      </c>
      <c r="I30" s="85"/>
    </row>
    <row r="31" spans="1:9" x14ac:dyDescent="0.2">
      <c r="A31" s="49">
        <v>17</v>
      </c>
      <c r="C31" s="56"/>
      <c r="D31" s="115"/>
      <c r="E31" s="115"/>
      <c r="F31" s="115"/>
      <c r="G31" s="115"/>
      <c r="H31" s="115">
        <f>SUM(D18:H18,D31:G31)</f>
        <v>0</v>
      </c>
      <c r="I31" s="85"/>
    </row>
    <row r="32" spans="1:9" x14ac:dyDescent="0.2">
      <c r="A32" s="49">
        <v>18</v>
      </c>
      <c r="C32" s="85"/>
      <c r="D32" s="115"/>
      <c r="E32" s="115"/>
      <c r="F32" s="115"/>
      <c r="G32" s="115"/>
      <c r="H32" s="115"/>
      <c r="I32" s="85"/>
    </row>
    <row r="33" spans="1:9" x14ac:dyDescent="0.2">
      <c r="A33" s="49">
        <v>19</v>
      </c>
      <c r="C33" s="85"/>
      <c r="D33" s="115"/>
      <c r="E33" s="115"/>
      <c r="F33" s="115"/>
      <c r="G33" s="115"/>
      <c r="H33" s="115"/>
      <c r="I33" s="85"/>
    </row>
    <row r="34" spans="1:9" ht="13.5" thickBot="1" x14ac:dyDescent="0.25">
      <c r="A34" s="49">
        <v>20</v>
      </c>
      <c r="B34" s="16" t="s">
        <v>25</v>
      </c>
      <c r="C34" s="85"/>
      <c r="D34" s="116">
        <f>SUM(D29:D33)</f>
        <v>-147896</v>
      </c>
      <c r="E34" s="116">
        <f>SUM(E29:E33)</f>
        <v>-196089</v>
      </c>
      <c r="F34" s="116">
        <f>SUM(F29:F33)</f>
        <v>1344430</v>
      </c>
      <c r="G34" s="116">
        <f>SUM(G29:G33)</f>
        <v>0</v>
      </c>
      <c r="H34" s="116">
        <f>SUM(H29:H33)</f>
        <v>-4674205</v>
      </c>
      <c r="I34" s="85"/>
    </row>
    <row r="35" spans="1:9" ht="13.5" thickTop="1" x14ac:dyDescent="0.2">
      <c r="A35" s="49"/>
      <c r="B35" s="85"/>
      <c r="C35" s="85"/>
      <c r="D35" s="27"/>
      <c r="E35" s="27"/>
      <c r="F35" s="27"/>
      <c r="G35" s="27"/>
      <c r="H35" s="85"/>
      <c r="I35" s="85"/>
    </row>
    <row r="36" spans="1:9" x14ac:dyDescent="0.2">
      <c r="A36" s="49"/>
      <c r="B36" s="85"/>
      <c r="C36" s="85"/>
      <c r="D36" s="27"/>
      <c r="E36" s="27"/>
      <c r="G36" s="27"/>
      <c r="H36" s="85"/>
      <c r="I36" s="85"/>
    </row>
    <row r="37" spans="1:9" x14ac:dyDescent="0.2">
      <c r="A37" s="49"/>
      <c r="B37" s="85"/>
      <c r="C37" s="85"/>
      <c r="G37" s="27"/>
      <c r="H37" s="85"/>
      <c r="I37" s="85"/>
    </row>
    <row r="38" spans="1:9" x14ac:dyDescent="0.2">
      <c r="A38" s="49"/>
      <c r="B38" s="85"/>
      <c r="C38" s="85"/>
      <c r="H38" s="85"/>
      <c r="I38" s="85"/>
    </row>
    <row r="39" spans="1:9" x14ac:dyDescent="0.2">
      <c r="B39" s="85"/>
      <c r="C39" s="85"/>
      <c r="D39" s="85"/>
      <c r="E39" s="85"/>
      <c r="F39" s="85"/>
      <c r="G39" s="85"/>
      <c r="H39" s="85"/>
      <c r="I39" s="85"/>
    </row>
    <row r="41" spans="1:9" x14ac:dyDescent="0.2">
      <c r="B41" s="14"/>
      <c r="C41" s="14"/>
      <c r="D41" s="77">
        <f>Exhibit!E17</f>
        <v>-3016168</v>
      </c>
      <c r="E41" s="77">
        <f>Exhibit!E18</f>
        <v>-1752870</v>
      </c>
      <c r="F41" s="77">
        <f>Exhibit!E19</f>
        <v>-325438</v>
      </c>
      <c r="G41" s="77">
        <f>Exhibit!E20</f>
        <v>-353857</v>
      </c>
      <c r="H41" s="77">
        <f>Exhibit!E21</f>
        <v>-226317</v>
      </c>
    </row>
    <row r="42" spans="1:9" x14ac:dyDescent="0.2">
      <c r="B42" s="14"/>
      <c r="C42" s="14"/>
      <c r="D42" s="14"/>
      <c r="E42" s="14"/>
      <c r="F42" s="14"/>
      <c r="G42" s="14"/>
      <c r="H42" s="14"/>
    </row>
    <row r="43" spans="1:9" x14ac:dyDescent="0.2">
      <c r="D43" s="80">
        <f>D21-D41</f>
        <v>0</v>
      </c>
      <c r="E43" s="80">
        <f t="shared" ref="E43:H43" si="0">E21-E41</f>
        <v>0</v>
      </c>
      <c r="F43" s="80">
        <f t="shared" si="0"/>
        <v>0</v>
      </c>
      <c r="G43" s="80">
        <f t="shared" si="0"/>
        <v>0</v>
      </c>
      <c r="H43" s="80">
        <f t="shared" si="0"/>
        <v>0</v>
      </c>
    </row>
    <row r="44" spans="1:9" x14ac:dyDescent="0.2">
      <c r="D44" s="17"/>
      <c r="E44" s="17"/>
      <c r="F44" s="17"/>
      <c r="G44" s="17"/>
      <c r="H44" s="17"/>
      <c r="I44" s="17"/>
    </row>
    <row r="45" spans="1:9" x14ac:dyDescent="0.2">
      <c r="D45" s="118">
        <f>Exhibit!E22</f>
        <v>-147896</v>
      </c>
      <c r="E45" s="27">
        <f>Exhibit!E23</f>
        <v>-196089</v>
      </c>
      <c r="F45" s="27">
        <f>Exhibit!E24</f>
        <v>1344430</v>
      </c>
      <c r="G45" s="17">
        <f>Exhibit!E25</f>
        <v>0</v>
      </c>
      <c r="H45" s="17">
        <f>Exhibit!E26</f>
        <v>-4674205</v>
      </c>
      <c r="I45" s="17"/>
    </row>
    <row r="46" spans="1:9" x14ac:dyDescent="0.2">
      <c r="D46" s="14"/>
      <c r="E46" s="14"/>
      <c r="G46" s="14"/>
      <c r="H46" s="17"/>
      <c r="I46" s="17"/>
    </row>
    <row r="47" spans="1:9" x14ac:dyDescent="0.2">
      <c r="D47" s="80">
        <f>D34-D45</f>
        <v>0</v>
      </c>
      <c r="E47" s="80">
        <f>E34-E45</f>
        <v>0</v>
      </c>
      <c r="F47" s="80">
        <f>F34-F45</f>
        <v>0</v>
      </c>
      <c r="G47" s="80">
        <f>G34-G45</f>
        <v>0</v>
      </c>
      <c r="H47" s="17">
        <f>H34-H45</f>
        <v>0</v>
      </c>
      <c r="I47" s="17"/>
    </row>
    <row r="48" spans="1:9" x14ac:dyDescent="0.2">
      <c r="D48" s="17"/>
      <c r="E48" s="17"/>
      <c r="F48" s="17"/>
      <c r="G48" s="17"/>
      <c r="H48" s="17"/>
      <c r="I48" s="17"/>
    </row>
    <row r="49" spans="2:9" x14ac:dyDescent="0.2">
      <c r="D49" s="17"/>
      <c r="E49" s="17"/>
      <c r="F49" s="17"/>
      <c r="G49" s="17"/>
      <c r="H49" s="17"/>
      <c r="I49" s="17"/>
    </row>
    <row r="50" spans="2:9" x14ac:dyDescent="0.2">
      <c r="D50" s="17"/>
      <c r="E50" s="17"/>
      <c r="F50" s="17"/>
      <c r="G50" s="17"/>
      <c r="H50" s="17"/>
      <c r="I50" s="17"/>
    </row>
    <row r="51" spans="2:9" x14ac:dyDescent="0.2">
      <c r="B51" s="18"/>
      <c r="C51" s="18"/>
      <c r="D51" s="17"/>
      <c r="E51" s="17"/>
      <c r="F51" s="17"/>
      <c r="G51" s="17"/>
      <c r="H51" s="17"/>
      <c r="I51" s="17"/>
    </row>
    <row r="53" spans="2:9" x14ac:dyDescent="0.2">
      <c r="D53" s="17"/>
      <c r="E53" s="17"/>
      <c r="F53" s="17"/>
      <c r="G53" s="17"/>
      <c r="H53" s="17"/>
      <c r="I53" s="17"/>
    </row>
  </sheetData>
  <mergeCells count="5">
    <mergeCell ref="B22:I22"/>
    <mergeCell ref="A5:H5"/>
    <mergeCell ref="A6:H6"/>
    <mergeCell ref="A7:H7"/>
    <mergeCell ref="A4:H4"/>
  </mergeCells>
  <pageMargins left="0.7" right="0.7" top="0.75" bottom="0.75" header="0.3" footer="0.3"/>
  <pageSetup scale="65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4" zoomScaleNormal="100" workbookViewId="0">
      <selection activeCell="F43" sqref="F43"/>
    </sheetView>
  </sheetViews>
  <sheetFormatPr defaultColWidth="9.140625" defaultRowHeight="12.75" x14ac:dyDescent="0.2"/>
  <cols>
    <col min="1" max="1" width="6.7109375" style="16" customWidth="1"/>
    <col min="2" max="2" width="26.85546875" style="16" bestFit="1" customWidth="1"/>
    <col min="3" max="3" width="73.85546875" style="16" customWidth="1"/>
    <col min="4" max="6" width="14" style="16" customWidth="1"/>
    <col min="7" max="7" width="16.42578125" style="16" customWidth="1"/>
    <col min="8" max="9" width="14" style="16" customWidth="1"/>
    <col min="10" max="16384" width="9.140625" style="16"/>
  </cols>
  <sheetData>
    <row r="1" spans="1:9" x14ac:dyDescent="0.2">
      <c r="A1" s="96"/>
      <c r="G1" s="18"/>
    </row>
    <row r="2" spans="1:9" x14ac:dyDescent="0.2">
      <c r="A2" s="96"/>
      <c r="G2" s="18"/>
    </row>
    <row r="4" spans="1:9" x14ac:dyDescent="0.2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I4" s="134"/>
    </row>
    <row r="5" spans="1:9" x14ac:dyDescent="0.2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134"/>
    </row>
    <row r="6" spans="1:9" x14ac:dyDescent="0.2">
      <c r="A6" s="134" t="s">
        <v>128</v>
      </c>
      <c r="B6" s="134"/>
      <c r="C6" s="134"/>
      <c r="D6" s="134"/>
      <c r="E6" s="134"/>
      <c r="F6" s="134"/>
      <c r="G6" s="134"/>
      <c r="H6" s="134"/>
      <c r="I6" s="134"/>
    </row>
    <row r="7" spans="1:9" x14ac:dyDescent="0.2">
      <c r="A7" s="134" t="s">
        <v>130</v>
      </c>
      <c r="B7" s="134"/>
      <c r="C7" s="134"/>
      <c r="D7" s="134"/>
      <c r="E7" s="134"/>
      <c r="F7" s="134"/>
      <c r="G7" s="134"/>
      <c r="H7" s="134"/>
      <c r="I7" s="134"/>
    </row>
    <row r="8" spans="1:9" ht="15" customHeight="1" x14ac:dyDescent="0.2"/>
    <row r="9" spans="1:9" x14ac:dyDescent="0.2">
      <c r="A9" s="50" t="str">
        <f>'Link In'!A55</f>
        <v>Witness Responsible:   Melissa Schwarzell</v>
      </c>
      <c r="H9" s="18"/>
      <c r="I9" s="87" t="str">
        <f>Exhibit!H9</f>
        <v>Exhibit 37, Schedule M-1</v>
      </c>
    </row>
    <row r="10" spans="1:9" x14ac:dyDescent="0.2">
      <c r="A10" s="50" t="str">
        <f>'Link In'!A4</f>
        <v/>
      </c>
      <c r="H10" s="18"/>
      <c r="I10" s="87" t="str">
        <f ca="1">Exhibit!H10</f>
        <v>Discovery\PSC\Attachment\[KAW_R_PSCDR2_NUM011_012519_Attachment_2_Exhibit 37_Schedule M-1.xlsx]Exhibit</v>
      </c>
    </row>
    <row r="12" spans="1:9" x14ac:dyDescent="0.2">
      <c r="A12" s="15" t="s">
        <v>36</v>
      </c>
      <c r="B12" s="14"/>
      <c r="C12" s="15" t="s">
        <v>23</v>
      </c>
      <c r="D12" s="15" t="s">
        <v>68</v>
      </c>
      <c r="E12" s="15" t="s">
        <v>70</v>
      </c>
      <c r="F12" s="14"/>
      <c r="G12" s="15"/>
      <c r="H12" s="15" t="s">
        <v>72</v>
      </c>
      <c r="I12" s="15" t="s">
        <v>75</v>
      </c>
    </row>
    <row r="13" spans="1:9" x14ac:dyDescent="0.2">
      <c r="A13" s="100" t="s">
        <v>37</v>
      </c>
      <c r="B13" s="100" t="s">
        <v>2</v>
      </c>
      <c r="C13" s="100" t="s">
        <v>24</v>
      </c>
      <c r="D13" s="100" t="s">
        <v>69</v>
      </c>
      <c r="E13" s="100" t="s">
        <v>71</v>
      </c>
      <c r="F13" s="100" t="s">
        <v>55</v>
      </c>
      <c r="G13" s="100" t="s">
        <v>56</v>
      </c>
      <c r="H13" s="100" t="s">
        <v>73</v>
      </c>
      <c r="I13" s="100" t="s">
        <v>74</v>
      </c>
    </row>
    <row r="15" spans="1:9" x14ac:dyDescent="0.2">
      <c r="A15" s="49">
        <v>1</v>
      </c>
    </row>
    <row r="16" spans="1:9" x14ac:dyDescent="0.2">
      <c r="A16" s="49">
        <v>2</v>
      </c>
      <c r="B16" s="16" t="s">
        <v>85</v>
      </c>
      <c r="C16" s="56" t="str">
        <f ca="1">Exhibit!C17</f>
        <v>Discovery\PSC\Support\PSCDR2_NUM011\[KAWC 2018 Rate Case - Revenue DR11.xlsx]Sch M</v>
      </c>
      <c r="D16" s="102">
        <f>Exhibit!E30</f>
        <v>0</v>
      </c>
      <c r="E16" s="102">
        <f>Exhibit!E31</f>
        <v>-64307</v>
      </c>
      <c r="F16" s="102">
        <f>Exhibit!E32</f>
        <v>1222</v>
      </c>
      <c r="G16" s="102">
        <f>Exhibit!E33</f>
        <v>-2</v>
      </c>
      <c r="H16" s="102">
        <f>Exhibit!E34</f>
        <v>0</v>
      </c>
      <c r="I16" s="102">
        <f>Exhibit!E35</f>
        <v>420</v>
      </c>
    </row>
    <row r="17" spans="1:9" x14ac:dyDescent="0.2">
      <c r="A17" s="49">
        <v>3</v>
      </c>
      <c r="D17" s="17"/>
      <c r="E17" s="17"/>
      <c r="F17" s="17"/>
      <c r="G17" s="17"/>
      <c r="H17" s="17"/>
      <c r="I17" s="17"/>
    </row>
    <row r="18" spans="1:9" x14ac:dyDescent="0.2">
      <c r="A18" s="49">
        <v>4</v>
      </c>
      <c r="H18" s="27"/>
    </row>
    <row r="19" spans="1:9" x14ac:dyDescent="0.2">
      <c r="A19" s="49">
        <v>5</v>
      </c>
      <c r="D19" s="27"/>
      <c r="E19" s="27"/>
      <c r="F19" s="27"/>
      <c r="G19" s="27"/>
      <c r="H19" s="27"/>
      <c r="I19" s="27"/>
    </row>
    <row r="20" spans="1:9" x14ac:dyDescent="0.2">
      <c r="A20" s="49">
        <v>6</v>
      </c>
      <c r="D20" s="27"/>
      <c r="E20" s="27"/>
      <c r="F20" s="27"/>
      <c r="G20" s="27"/>
      <c r="H20" s="27"/>
      <c r="I20" s="27"/>
    </row>
    <row r="21" spans="1:9" ht="13.5" thickBot="1" x14ac:dyDescent="0.25">
      <c r="A21" s="49">
        <v>7</v>
      </c>
      <c r="B21" s="16" t="s">
        <v>25</v>
      </c>
      <c r="D21" s="116">
        <f t="shared" ref="D21:I21" si="0">SUM(D16:D20)</f>
        <v>0</v>
      </c>
      <c r="E21" s="116">
        <f t="shared" si="0"/>
        <v>-64307</v>
      </c>
      <c r="F21" s="116">
        <f t="shared" si="0"/>
        <v>1222</v>
      </c>
      <c r="G21" s="116">
        <f t="shared" si="0"/>
        <v>-2</v>
      </c>
      <c r="H21" s="116">
        <f t="shared" si="0"/>
        <v>0</v>
      </c>
      <c r="I21" s="116">
        <f t="shared" si="0"/>
        <v>420</v>
      </c>
    </row>
    <row r="22" spans="1:9" ht="13.5" thickTop="1" x14ac:dyDescent="0.2">
      <c r="A22" s="49">
        <v>8</v>
      </c>
      <c r="D22" s="27"/>
      <c r="E22" s="27"/>
      <c r="F22" s="27"/>
      <c r="G22" s="27"/>
      <c r="H22" s="27"/>
      <c r="I22" s="27"/>
    </row>
    <row r="23" spans="1:9" x14ac:dyDescent="0.2">
      <c r="A23" s="49">
        <v>9</v>
      </c>
    </row>
    <row r="24" spans="1:9" x14ac:dyDescent="0.2">
      <c r="A24" s="49">
        <v>10</v>
      </c>
    </row>
    <row r="25" spans="1:9" x14ac:dyDescent="0.2">
      <c r="A25" s="49">
        <v>11</v>
      </c>
      <c r="D25" s="15" t="s">
        <v>76</v>
      </c>
      <c r="E25" s="15" t="s">
        <v>78</v>
      </c>
      <c r="F25" s="15" t="s">
        <v>80</v>
      </c>
      <c r="G25" s="15" t="s">
        <v>82</v>
      </c>
      <c r="H25" s="15" t="s">
        <v>84</v>
      </c>
    </row>
    <row r="26" spans="1:9" x14ac:dyDescent="0.2">
      <c r="A26" s="49">
        <v>12</v>
      </c>
      <c r="D26" s="100" t="s">
        <v>77</v>
      </c>
      <c r="E26" s="100" t="s">
        <v>79</v>
      </c>
      <c r="F26" s="100" t="s">
        <v>81</v>
      </c>
      <c r="G26" s="100" t="s">
        <v>83</v>
      </c>
      <c r="H26" s="100" t="s">
        <v>83</v>
      </c>
      <c r="I26" s="100" t="s">
        <v>25</v>
      </c>
    </row>
    <row r="27" spans="1:9" x14ac:dyDescent="0.2">
      <c r="A27" s="49">
        <v>13</v>
      </c>
    </row>
    <row r="28" spans="1:9" x14ac:dyDescent="0.2">
      <c r="A28" s="49">
        <v>14</v>
      </c>
    </row>
    <row r="29" spans="1:9" x14ac:dyDescent="0.2">
      <c r="A29" s="49">
        <v>15</v>
      </c>
      <c r="B29" s="16" t="s">
        <v>85</v>
      </c>
      <c r="C29" s="56" t="str">
        <f ca="1">C16</f>
        <v>Discovery\PSC\Support\PSCDR2_NUM011\[KAWC 2018 Rate Case - Revenue DR11.xlsx]Sch M</v>
      </c>
      <c r="D29" s="102">
        <f>Exhibit!E36</f>
        <v>-10839</v>
      </c>
      <c r="E29" s="102">
        <f>Exhibit!E37</f>
        <v>-259</v>
      </c>
      <c r="F29" s="102">
        <f>Exhibit!E38</f>
        <v>25470</v>
      </c>
      <c r="G29" s="102">
        <f>Exhibit!E39</f>
        <v>-165</v>
      </c>
      <c r="H29" s="102">
        <f>Exhibit!E40</f>
        <v>0</v>
      </c>
      <c r="I29" s="102">
        <f>SUM(D29:H29,D16:I16)</f>
        <v>-48460</v>
      </c>
    </row>
    <row r="30" spans="1:9" x14ac:dyDescent="0.2">
      <c r="A30" s="49">
        <v>16</v>
      </c>
      <c r="D30" s="102"/>
      <c r="E30" s="102"/>
      <c r="F30" s="102"/>
      <c r="G30" s="102"/>
      <c r="H30" s="102"/>
      <c r="I30" s="102"/>
    </row>
    <row r="31" spans="1:9" x14ac:dyDescent="0.2">
      <c r="A31" s="49">
        <v>17</v>
      </c>
      <c r="I31" s="17"/>
    </row>
    <row r="32" spans="1:9" x14ac:dyDescent="0.2">
      <c r="A32" s="49">
        <v>18</v>
      </c>
      <c r="D32" s="17"/>
      <c r="E32" s="17"/>
      <c r="F32" s="17"/>
      <c r="G32" s="17"/>
      <c r="H32" s="17"/>
      <c r="I32" s="17"/>
    </row>
    <row r="33" spans="1:9" x14ac:dyDescent="0.2">
      <c r="A33" s="49">
        <v>19</v>
      </c>
    </row>
    <row r="34" spans="1:9" ht="13.5" thickBot="1" x14ac:dyDescent="0.25">
      <c r="A34" s="49">
        <v>20</v>
      </c>
      <c r="B34" s="16" t="s">
        <v>25</v>
      </c>
      <c r="D34" s="116">
        <f t="shared" ref="D34:I34" si="1">SUM(D29:D32)</f>
        <v>-10839</v>
      </c>
      <c r="E34" s="116">
        <f t="shared" si="1"/>
        <v>-259</v>
      </c>
      <c r="F34" s="116">
        <f t="shared" si="1"/>
        <v>25470</v>
      </c>
      <c r="G34" s="116">
        <f t="shared" si="1"/>
        <v>-165</v>
      </c>
      <c r="H34" s="116">
        <f t="shared" si="1"/>
        <v>0</v>
      </c>
      <c r="I34" s="116">
        <f t="shared" si="1"/>
        <v>-48460</v>
      </c>
    </row>
    <row r="35" spans="1:9" ht="13.5" thickTop="1" x14ac:dyDescent="0.2">
      <c r="A35" s="49"/>
      <c r="D35" s="17"/>
      <c r="E35" s="17"/>
      <c r="F35" s="17"/>
      <c r="G35" s="17"/>
      <c r="H35" s="17"/>
      <c r="I35" s="17"/>
    </row>
    <row r="36" spans="1:9" x14ac:dyDescent="0.2">
      <c r="D36" s="17"/>
      <c r="E36" s="17"/>
      <c r="F36" s="17"/>
      <c r="G36" s="17"/>
      <c r="H36" s="17"/>
    </row>
    <row r="37" spans="1:9" x14ac:dyDescent="0.2">
      <c r="D37" s="17"/>
      <c r="E37" s="17"/>
      <c r="F37" s="17"/>
      <c r="G37" s="17"/>
      <c r="H37" s="17"/>
      <c r="I37" s="17"/>
    </row>
    <row r="38" spans="1:9" x14ac:dyDescent="0.2">
      <c r="B38" s="18"/>
      <c r="C38" s="18"/>
      <c r="D38" s="17"/>
      <c r="E38" s="17"/>
      <c r="F38" s="17"/>
      <c r="G38" s="17"/>
      <c r="H38" s="17"/>
      <c r="I38" s="17"/>
    </row>
    <row r="40" spans="1:9" x14ac:dyDescent="0.2">
      <c r="D40" s="17"/>
      <c r="E40" s="17"/>
      <c r="F40" s="17"/>
      <c r="G40" s="17"/>
      <c r="H40" s="17"/>
      <c r="I40" s="17"/>
    </row>
  </sheetData>
  <mergeCells count="4">
    <mergeCell ref="A5:I5"/>
    <mergeCell ref="A6:I6"/>
    <mergeCell ref="A7:I7"/>
    <mergeCell ref="A4:I4"/>
  </mergeCells>
  <pageMargins left="0.7" right="0.7" top="0.75" bottom="0.75" header="0.3" footer="0.3"/>
  <pageSetup scale="63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9" zoomScaleNormal="100" workbookViewId="0">
      <selection activeCell="F43" sqref="F43"/>
    </sheetView>
  </sheetViews>
  <sheetFormatPr defaultColWidth="9.140625" defaultRowHeight="12.75" x14ac:dyDescent="0.2"/>
  <cols>
    <col min="1" max="1" width="9.28515625" style="16" bestFit="1" customWidth="1"/>
    <col min="2" max="2" width="14" style="16" customWidth="1"/>
    <col min="3" max="3" width="44.28515625" style="16" bestFit="1" customWidth="1"/>
    <col min="4" max="6" width="14" style="16" customWidth="1"/>
    <col min="7" max="7" width="16.42578125" style="16" customWidth="1"/>
    <col min="8" max="9" width="14" style="16" customWidth="1"/>
    <col min="10" max="16384" width="9.140625" style="16"/>
  </cols>
  <sheetData>
    <row r="1" spans="1:9" x14ac:dyDescent="0.2">
      <c r="A1" s="96"/>
    </row>
    <row r="2" spans="1:9" x14ac:dyDescent="0.2">
      <c r="A2" s="96"/>
    </row>
    <row r="4" spans="1:9" x14ac:dyDescent="0.2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</row>
    <row r="5" spans="1:9" x14ac:dyDescent="0.2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26"/>
    </row>
    <row r="6" spans="1:9" x14ac:dyDescent="0.2">
      <c r="A6" s="134" t="s">
        <v>128</v>
      </c>
      <c r="B6" s="134"/>
      <c r="C6" s="134"/>
      <c r="D6" s="134"/>
      <c r="E6" s="134"/>
      <c r="F6" s="134"/>
      <c r="G6" s="134"/>
      <c r="H6" s="134"/>
      <c r="I6" s="119"/>
    </row>
    <row r="7" spans="1:9" x14ac:dyDescent="0.2">
      <c r="A7" s="134" t="s">
        <v>129</v>
      </c>
      <c r="B7" s="134"/>
      <c r="C7" s="134"/>
      <c r="D7" s="134"/>
      <c r="E7" s="134"/>
      <c r="F7" s="134"/>
      <c r="G7" s="134"/>
      <c r="H7" s="134"/>
      <c r="I7" s="119"/>
    </row>
    <row r="8" spans="1:9" x14ac:dyDescent="0.2">
      <c r="A8" s="134"/>
      <c r="B8" s="134"/>
      <c r="C8" s="134"/>
      <c r="D8" s="134"/>
      <c r="E8" s="134"/>
      <c r="F8" s="134"/>
      <c r="G8" s="134"/>
      <c r="H8" s="134"/>
      <c r="I8" s="119"/>
    </row>
    <row r="9" spans="1:9" x14ac:dyDescent="0.2">
      <c r="A9" s="50" t="str">
        <f>'Link In'!A55</f>
        <v>Witness Responsible:   Melissa Schwarzell</v>
      </c>
      <c r="B9" s="97"/>
      <c r="C9" s="97"/>
      <c r="D9" s="97"/>
      <c r="E9" s="97"/>
      <c r="F9" s="97"/>
      <c r="G9" s="97"/>
      <c r="H9" s="87" t="str">
        <f>'Operating Revenues'!H9</f>
        <v>Exhibit 37, Schedule M-1</v>
      </c>
    </row>
    <row r="10" spans="1:9" x14ac:dyDescent="0.2">
      <c r="A10" s="50" t="str">
        <f>'Link In'!A4</f>
        <v/>
      </c>
      <c r="H10" s="87" t="str">
        <f ca="1">'Operating Revenues'!H10</f>
        <v>Discovery\PSC\Attachment\[KAW_R_PSCDR2_NUM011_012519_Attachment_2_Exhibit 37_Schedule M-1.xlsx]Exhibit</v>
      </c>
    </row>
    <row r="12" spans="1:9" x14ac:dyDescent="0.2">
      <c r="A12" s="15" t="s">
        <v>36</v>
      </c>
      <c r="B12" s="14"/>
      <c r="C12" s="15" t="s">
        <v>23</v>
      </c>
      <c r="D12" s="14"/>
      <c r="E12" s="14"/>
      <c r="F12" s="14"/>
      <c r="G12" s="15" t="s">
        <v>26</v>
      </c>
      <c r="H12" s="15" t="s">
        <v>100</v>
      </c>
      <c r="I12" s="15"/>
    </row>
    <row r="13" spans="1:9" x14ac:dyDescent="0.2">
      <c r="A13" s="100" t="s">
        <v>37</v>
      </c>
      <c r="B13" s="100" t="s">
        <v>2</v>
      </c>
      <c r="C13" s="100" t="s">
        <v>24</v>
      </c>
      <c r="D13" s="100" t="s">
        <v>27</v>
      </c>
      <c r="E13" s="100" t="s">
        <v>28</v>
      </c>
      <c r="F13" s="100" t="s">
        <v>29</v>
      </c>
      <c r="G13" s="100" t="s">
        <v>30</v>
      </c>
      <c r="H13" s="100" t="s">
        <v>101</v>
      </c>
    </row>
    <row r="15" spans="1:9" x14ac:dyDescent="0.2">
      <c r="A15" s="49">
        <v>1</v>
      </c>
    </row>
    <row r="16" spans="1:9" x14ac:dyDescent="0.2">
      <c r="A16" s="49">
        <v>2</v>
      </c>
      <c r="B16" s="16" t="s">
        <v>32</v>
      </c>
      <c r="C16" s="56" t="str">
        <f ca="1">Exhibit!C17</f>
        <v>Discovery\PSC\Support\PSCDR2_NUM011\[KAWC 2018 Rate Case - Revenue DR11.xlsx]Sch M</v>
      </c>
      <c r="D16" s="102">
        <f>Exhibit!G17</f>
        <v>10732252</v>
      </c>
      <c r="E16" s="102">
        <f>Exhibit!G18</f>
        <v>5255923</v>
      </c>
      <c r="F16" s="102">
        <f>Exhibit!G19</f>
        <v>579966</v>
      </c>
      <c r="G16" s="102">
        <f>Exhibit!G20</f>
        <v>1420526</v>
      </c>
      <c r="H16" s="102">
        <f>Exhibit!G21</f>
        <v>367221</v>
      </c>
    </row>
    <row r="17" spans="1:9" x14ac:dyDescent="0.2">
      <c r="A17" s="49">
        <v>3</v>
      </c>
      <c r="D17" s="115"/>
      <c r="E17" s="115"/>
      <c r="F17" s="115"/>
      <c r="G17" s="115"/>
      <c r="H17" s="115"/>
    </row>
    <row r="18" spans="1:9" x14ac:dyDescent="0.2">
      <c r="A18" s="49">
        <v>4</v>
      </c>
      <c r="D18" s="115"/>
      <c r="E18" s="115"/>
      <c r="F18" s="115"/>
      <c r="G18" s="115"/>
      <c r="H18" s="115"/>
    </row>
    <row r="19" spans="1:9" x14ac:dyDescent="0.2">
      <c r="A19" s="49">
        <v>5</v>
      </c>
      <c r="D19" s="115"/>
      <c r="E19" s="115"/>
      <c r="F19" s="115"/>
      <c r="G19" s="115"/>
      <c r="H19" s="115"/>
    </row>
    <row r="20" spans="1:9" x14ac:dyDescent="0.2">
      <c r="A20" s="49">
        <v>6</v>
      </c>
      <c r="D20" s="115"/>
      <c r="E20" s="115"/>
      <c r="F20" s="115"/>
      <c r="G20" s="115"/>
      <c r="H20" s="115"/>
    </row>
    <row r="21" spans="1:9" ht="13.5" thickBot="1" x14ac:dyDescent="0.25">
      <c r="A21" s="49">
        <v>7</v>
      </c>
      <c r="B21" s="16" t="s">
        <v>25</v>
      </c>
      <c r="D21" s="116">
        <f>SUM(D16:D20)</f>
        <v>10732252</v>
      </c>
      <c r="E21" s="116">
        <f>SUM(E16:E20)</f>
        <v>5255923</v>
      </c>
      <c r="F21" s="116">
        <f>SUM(F16:F20)</f>
        <v>579966</v>
      </c>
      <c r="G21" s="116">
        <f>SUM(G16:G20)</f>
        <v>1420526</v>
      </c>
      <c r="H21" s="116">
        <f>SUM(H16:H20)</f>
        <v>367221</v>
      </c>
    </row>
    <row r="22" spans="1:9" ht="13.5" thickTop="1" x14ac:dyDescent="0.2">
      <c r="A22" s="49">
        <v>8</v>
      </c>
      <c r="D22" s="21"/>
      <c r="E22" s="21"/>
      <c r="F22" s="21"/>
      <c r="G22" s="21"/>
      <c r="H22" s="21"/>
    </row>
    <row r="23" spans="1:9" x14ac:dyDescent="0.2">
      <c r="A23" s="49">
        <v>9</v>
      </c>
      <c r="D23" s="21"/>
      <c r="E23" s="21"/>
      <c r="F23" s="21"/>
      <c r="G23" s="21"/>
      <c r="H23" s="21"/>
    </row>
    <row r="24" spans="1:9" x14ac:dyDescent="0.2">
      <c r="A24" s="49">
        <v>10</v>
      </c>
      <c r="D24" s="27"/>
      <c r="E24" s="27"/>
      <c r="F24" s="27"/>
      <c r="G24" s="27"/>
      <c r="H24" s="27"/>
      <c r="I24" s="27"/>
    </row>
    <row r="25" spans="1:9" x14ac:dyDescent="0.2">
      <c r="A25" s="49">
        <v>11</v>
      </c>
      <c r="B25" s="18"/>
      <c r="D25" s="15" t="s">
        <v>118</v>
      </c>
      <c r="E25" s="15" t="s">
        <v>119</v>
      </c>
      <c r="F25" s="15"/>
      <c r="G25" s="15" t="s">
        <v>93</v>
      </c>
      <c r="H25" s="27"/>
      <c r="I25" s="27"/>
    </row>
    <row r="26" spans="1:9" x14ac:dyDescent="0.2">
      <c r="A26" s="49">
        <v>12</v>
      </c>
      <c r="D26" s="100" t="s">
        <v>31</v>
      </c>
      <c r="E26" s="100" t="s">
        <v>31</v>
      </c>
      <c r="F26" s="100" t="s">
        <v>64</v>
      </c>
      <c r="G26" s="100" t="s">
        <v>94</v>
      </c>
      <c r="H26" s="100" t="s">
        <v>25</v>
      </c>
    </row>
    <row r="27" spans="1:9" x14ac:dyDescent="0.2">
      <c r="A27" s="49">
        <v>13</v>
      </c>
    </row>
    <row r="28" spans="1:9" x14ac:dyDescent="0.2">
      <c r="A28" s="49">
        <v>14</v>
      </c>
    </row>
    <row r="29" spans="1:9" x14ac:dyDescent="0.2">
      <c r="A29" s="49">
        <v>15</v>
      </c>
      <c r="B29" s="16" t="s">
        <v>32</v>
      </c>
      <c r="C29" s="56" t="str">
        <f ca="1">C16</f>
        <v>Discovery\PSC\Support\PSCDR2_NUM011\[KAWC 2018 Rate Case - Revenue DR11.xlsx]Sch M</v>
      </c>
      <c r="D29" s="102">
        <f>Exhibit!G22</f>
        <v>346415</v>
      </c>
      <c r="E29" s="102">
        <f>Exhibit!G23</f>
        <v>838067</v>
      </c>
      <c r="F29" s="102">
        <f>Exhibit!G24</f>
        <v>0</v>
      </c>
      <c r="G29" s="102">
        <f>Exhibit!G25</f>
        <v>0</v>
      </c>
      <c r="H29" s="102">
        <f>SUM(D16:H16,D29:G29)</f>
        <v>19540370</v>
      </c>
    </row>
    <row r="30" spans="1:9" x14ac:dyDescent="0.2">
      <c r="A30" s="49">
        <v>16</v>
      </c>
      <c r="D30" s="115"/>
      <c r="E30" s="115"/>
      <c r="F30" s="115"/>
      <c r="G30" s="115"/>
      <c r="H30" s="115"/>
    </row>
    <row r="31" spans="1:9" x14ac:dyDescent="0.2">
      <c r="A31" s="49">
        <v>17</v>
      </c>
      <c r="D31" s="115"/>
      <c r="E31" s="115"/>
      <c r="F31" s="115"/>
      <c r="G31" s="115"/>
      <c r="H31" s="115"/>
    </row>
    <row r="32" spans="1:9" x14ac:dyDescent="0.2">
      <c r="A32" s="49">
        <v>18</v>
      </c>
      <c r="D32" s="115"/>
      <c r="E32" s="115"/>
      <c r="F32" s="115"/>
      <c r="G32" s="115"/>
      <c r="H32" s="115"/>
    </row>
    <row r="33" spans="1:8" x14ac:dyDescent="0.2">
      <c r="A33" s="49">
        <v>19</v>
      </c>
      <c r="D33" s="115"/>
      <c r="E33" s="115"/>
      <c r="F33" s="115"/>
      <c r="G33" s="115"/>
      <c r="H33" s="115"/>
    </row>
    <row r="34" spans="1:8" ht="13.5" thickBot="1" x14ac:dyDescent="0.25">
      <c r="A34" s="49">
        <v>20</v>
      </c>
      <c r="B34" s="16" t="s">
        <v>25</v>
      </c>
      <c r="D34" s="116">
        <f>SUM(D29:D33)</f>
        <v>346415</v>
      </c>
      <c r="E34" s="116">
        <f>SUM(E29:E33)</f>
        <v>838067</v>
      </c>
      <c r="F34" s="116">
        <f>SUM(F29:F33)</f>
        <v>0</v>
      </c>
      <c r="G34" s="116">
        <f>SUM(G29:G33)</f>
        <v>0</v>
      </c>
      <c r="H34" s="116">
        <f>SUM(H29:H33)</f>
        <v>19540370</v>
      </c>
    </row>
    <row r="35" spans="1:8" ht="13.5" thickTop="1" x14ac:dyDescent="0.2">
      <c r="A35" s="49"/>
    </row>
    <row r="36" spans="1:8" x14ac:dyDescent="0.2">
      <c r="A36" s="49"/>
    </row>
    <row r="37" spans="1:8" x14ac:dyDescent="0.2">
      <c r="A37" s="49"/>
    </row>
  </sheetData>
  <mergeCells count="5">
    <mergeCell ref="A4:H4"/>
    <mergeCell ref="A8:H8"/>
    <mergeCell ref="A6:H6"/>
    <mergeCell ref="A5:H5"/>
    <mergeCell ref="A7:H7"/>
  </mergeCells>
  <pageMargins left="0.7" right="0.7" top="0.75" bottom="0.75" header="0.3" footer="0.3"/>
  <pageSetup scale="77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3" zoomScaleNormal="100" workbookViewId="0">
      <selection activeCell="F43" sqref="F43"/>
    </sheetView>
  </sheetViews>
  <sheetFormatPr defaultColWidth="9.140625" defaultRowHeight="12.75" x14ac:dyDescent="0.2"/>
  <cols>
    <col min="1" max="1" width="6.7109375" style="16" customWidth="1"/>
    <col min="2" max="2" width="28.28515625" style="16" customWidth="1"/>
    <col min="3" max="3" width="74.5703125" style="16" customWidth="1"/>
    <col min="4" max="6" width="14" style="16" customWidth="1"/>
    <col min="7" max="7" width="16.42578125" style="16" customWidth="1"/>
    <col min="8" max="9" width="14" style="16" customWidth="1"/>
    <col min="10" max="16384" width="9.140625" style="16"/>
  </cols>
  <sheetData>
    <row r="1" spans="1:9" x14ac:dyDescent="0.2">
      <c r="A1" s="96"/>
    </row>
    <row r="2" spans="1:9" x14ac:dyDescent="0.2">
      <c r="A2" s="96"/>
    </row>
    <row r="4" spans="1:9" x14ac:dyDescent="0.2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I4" s="134"/>
    </row>
    <row r="5" spans="1:9" x14ac:dyDescent="0.2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134"/>
    </row>
    <row r="6" spans="1:9" x14ac:dyDescent="0.2">
      <c r="A6" s="134" t="s">
        <v>128</v>
      </c>
      <c r="B6" s="134"/>
      <c r="C6" s="134"/>
      <c r="D6" s="134"/>
      <c r="E6" s="134"/>
      <c r="F6" s="134"/>
      <c r="G6" s="134"/>
      <c r="H6" s="134"/>
      <c r="I6" s="134"/>
    </row>
    <row r="7" spans="1:9" x14ac:dyDescent="0.2">
      <c r="A7" s="134" t="s">
        <v>131</v>
      </c>
      <c r="B7" s="134"/>
      <c r="C7" s="134"/>
      <c r="D7" s="134"/>
      <c r="E7" s="134"/>
      <c r="F7" s="134"/>
      <c r="G7" s="134"/>
      <c r="H7" s="134"/>
      <c r="I7" s="134"/>
    </row>
    <row r="8" spans="1:9" ht="15" customHeight="1" x14ac:dyDescent="0.2">
      <c r="A8" s="134"/>
      <c r="B8" s="134"/>
      <c r="C8" s="134"/>
      <c r="D8" s="134"/>
      <c r="E8" s="134"/>
      <c r="F8" s="134"/>
      <c r="G8" s="134"/>
      <c r="H8" s="134"/>
      <c r="I8" s="134"/>
    </row>
    <row r="9" spans="1:9" x14ac:dyDescent="0.2">
      <c r="A9" s="50" t="str">
        <f>'Link In'!A55</f>
        <v>Witness Responsible:   Melissa Schwarzell</v>
      </c>
      <c r="I9" s="87" t="str">
        <f>Exhibit!H9</f>
        <v>Exhibit 37, Schedule M-1</v>
      </c>
    </row>
    <row r="10" spans="1:9" x14ac:dyDescent="0.2">
      <c r="A10" s="50" t="str">
        <f>'Link In'!A4</f>
        <v/>
      </c>
      <c r="H10" s="18"/>
      <c r="I10" s="87" t="str">
        <f ca="1">Exhibit!H10</f>
        <v>Discovery\PSC\Attachment\[KAW_R_PSCDR2_NUM011_012519_Attachment_2_Exhibit 37_Schedule M-1.xlsx]Exhibit</v>
      </c>
    </row>
    <row r="12" spans="1:9" x14ac:dyDescent="0.2">
      <c r="A12" s="15" t="s">
        <v>36</v>
      </c>
      <c r="B12" s="14"/>
      <c r="C12" s="15" t="s">
        <v>23</v>
      </c>
      <c r="D12" s="15" t="s">
        <v>68</v>
      </c>
      <c r="E12" s="15" t="s">
        <v>70</v>
      </c>
      <c r="F12" s="14"/>
      <c r="G12" s="15"/>
      <c r="H12" s="15" t="s">
        <v>72</v>
      </c>
      <c r="I12" s="15" t="s">
        <v>75</v>
      </c>
    </row>
    <row r="13" spans="1:9" x14ac:dyDescent="0.2">
      <c r="A13" s="100" t="s">
        <v>37</v>
      </c>
      <c r="B13" s="100" t="s">
        <v>2</v>
      </c>
      <c r="C13" s="100" t="s">
        <v>24</v>
      </c>
      <c r="D13" s="100" t="s">
        <v>69</v>
      </c>
      <c r="E13" s="100" t="s">
        <v>71</v>
      </c>
      <c r="F13" s="100" t="s">
        <v>55</v>
      </c>
      <c r="G13" s="100" t="s">
        <v>56</v>
      </c>
      <c r="H13" s="100" t="s">
        <v>73</v>
      </c>
      <c r="I13" s="100" t="s">
        <v>74</v>
      </c>
    </row>
    <row r="15" spans="1:9" x14ac:dyDescent="0.2">
      <c r="A15" s="49">
        <v>1</v>
      </c>
    </row>
    <row r="16" spans="1:9" x14ac:dyDescent="0.2">
      <c r="A16" s="49">
        <v>2</v>
      </c>
      <c r="B16" s="16" t="s">
        <v>85</v>
      </c>
      <c r="C16" s="56" t="str">
        <f ca="1">'Proposed Rates'!C16</f>
        <v>Discovery\PSC\Support\PSCDR2_NUM011\[KAWC 2018 Rate Case - Revenue DR11.xlsx]Sch M</v>
      </c>
      <c r="D16" s="102"/>
      <c r="E16" s="102"/>
      <c r="F16" s="102"/>
      <c r="G16" s="102"/>
      <c r="H16" s="102"/>
      <c r="I16" s="102"/>
    </row>
    <row r="17" spans="1:9" x14ac:dyDescent="0.2">
      <c r="A17" s="49">
        <v>3</v>
      </c>
      <c r="D17" s="17"/>
      <c r="E17" s="17"/>
      <c r="F17" s="17"/>
      <c r="G17" s="17"/>
      <c r="H17" s="17"/>
      <c r="I17" s="17"/>
    </row>
    <row r="18" spans="1:9" x14ac:dyDescent="0.2">
      <c r="A18" s="49">
        <v>4</v>
      </c>
      <c r="H18" s="27"/>
    </row>
    <row r="19" spans="1:9" x14ac:dyDescent="0.2">
      <c r="A19" s="49">
        <v>5</v>
      </c>
      <c r="D19" s="27"/>
      <c r="E19" s="27"/>
      <c r="F19" s="27"/>
      <c r="G19" s="27"/>
      <c r="H19" s="27"/>
      <c r="I19" s="27"/>
    </row>
    <row r="20" spans="1:9" x14ac:dyDescent="0.2">
      <c r="A20" s="49">
        <v>6</v>
      </c>
      <c r="D20" s="27"/>
      <c r="E20" s="27"/>
      <c r="F20" s="27"/>
      <c r="G20" s="27"/>
      <c r="H20" s="27"/>
      <c r="I20" s="27"/>
    </row>
    <row r="21" spans="1:9" ht="13.5" thickBot="1" x14ac:dyDescent="0.25">
      <c r="A21" s="49">
        <v>7</v>
      </c>
      <c r="B21" s="16" t="s">
        <v>25</v>
      </c>
      <c r="D21" s="116">
        <f t="shared" ref="D21:I21" si="0">SUM(D16:D20)</f>
        <v>0</v>
      </c>
      <c r="E21" s="116">
        <f t="shared" si="0"/>
        <v>0</v>
      </c>
      <c r="F21" s="116">
        <f t="shared" si="0"/>
        <v>0</v>
      </c>
      <c r="G21" s="116">
        <f t="shared" si="0"/>
        <v>0</v>
      </c>
      <c r="H21" s="116">
        <f t="shared" si="0"/>
        <v>0</v>
      </c>
      <c r="I21" s="116">
        <f t="shared" si="0"/>
        <v>0</v>
      </c>
    </row>
    <row r="22" spans="1:9" ht="13.5" thickTop="1" x14ac:dyDescent="0.2">
      <c r="A22" s="49">
        <v>8</v>
      </c>
      <c r="D22" s="27"/>
      <c r="E22" s="27"/>
      <c r="F22" s="27"/>
      <c r="G22" s="27"/>
      <c r="H22" s="27"/>
      <c r="I22" s="27"/>
    </row>
    <row r="23" spans="1:9" x14ac:dyDescent="0.2">
      <c r="A23" s="49">
        <v>9</v>
      </c>
    </row>
    <row r="24" spans="1:9" x14ac:dyDescent="0.2">
      <c r="A24" s="49">
        <v>10</v>
      </c>
    </row>
    <row r="25" spans="1:9" x14ac:dyDescent="0.2">
      <c r="A25" s="49">
        <v>11</v>
      </c>
      <c r="D25" s="15" t="s">
        <v>76</v>
      </c>
      <c r="E25" s="15" t="s">
        <v>78</v>
      </c>
      <c r="F25" s="15" t="s">
        <v>80</v>
      </c>
      <c r="G25" s="15" t="s">
        <v>82</v>
      </c>
      <c r="H25" s="15" t="s">
        <v>84</v>
      </c>
    </row>
    <row r="26" spans="1:9" x14ac:dyDescent="0.2">
      <c r="A26" s="49">
        <v>12</v>
      </c>
      <c r="D26" s="100" t="s">
        <v>77</v>
      </c>
      <c r="E26" s="100" t="s">
        <v>79</v>
      </c>
      <c r="F26" s="100" t="s">
        <v>81</v>
      </c>
      <c r="G26" s="100" t="s">
        <v>83</v>
      </c>
      <c r="H26" s="100" t="s">
        <v>83</v>
      </c>
      <c r="I26" s="100" t="s">
        <v>25</v>
      </c>
    </row>
    <row r="27" spans="1:9" x14ac:dyDescent="0.2">
      <c r="A27" s="49">
        <v>13</v>
      </c>
    </row>
    <row r="28" spans="1:9" x14ac:dyDescent="0.2">
      <c r="A28" s="49">
        <v>14</v>
      </c>
    </row>
    <row r="29" spans="1:9" x14ac:dyDescent="0.2">
      <c r="A29" s="49">
        <v>15</v>
      </c>
      <c r="B29" s="16" t="s">
        <v>85</v>
      </c>
      <c r="C29" s="56" t="str">
        <f ca="1">C16</f>
        <v>Discovery\PSC\Support\PSCDR2_NUM011\[KAWC 2018 Rate Case - Revenue DR11.xlsx]Sch M</v>
      </c>
      <c r="D29" s="102">
        <f>Exhibit!G36</f>
        <v>0</v>
      </c>
      <c r="E29" s="102"/>
      <c r="F29" s="102">
        <f>Exhibit!G38</f>
        <v>0</v>
      </c>
      <c r="G29" s="102"/>
      <c r="H29" s="102"/>
      <c r="I29" s="102">
        <f>SUM(D29:H29,D16:I16)</f>
        <v>0</v>
      </c>
    </row>
    <row r="30" spans="1:9" x14ac:dyDescent="0.2">
      <c r="A30" s="49">
        <v>16</v>
      </c>
    </row>
    <row r="31" spans="1:9" x14ac:dyDescent="0.2">
      <c r="A31" s="49">
        <v>17</v>
      </c>
      <c r="I31" s="17"/>
    </row>
    <row r="32" spans="1:9" x14ac:dyDescent="0.2">
      <c r="A32" s="49">
        <v>18</v>
      </c>
      <c r="D32" s="17"/>
      <c r="E32" s="17"/>
      <c r="F32" s="17"/>
      <c r="G32" s="17"/>
      <c r="H32" s="17"/>
      <c r="I32" s="17"/>
    </row>
    <row r="33" spans="1:9" x14ac:dyDescent="0.2">
      <c r="A33" s="49">
        <v>19</v>
      </c>
    </row>
    <row r="34" spans="1:9" ht="13.5" thickBot="1" x14ac:dyDescent="0.25">
      <c r="A34" s="49">
        <v>20</v>
      </c>
      <c r="B34" s="16" t="s">
        <v>25</v>
      </c>
      <c r="D34" s="116">
        <f t="shared" ref="D34:I34" si="1">SUM(D29:D32)</f>
        <v>0</v>
      </c>
      <c r="E34" s="116">
        <f t="shared" si="1"/>
        <v>0</v>
      </c>
      <c r="F34" s="116">
        <f t="shared" si="1"/>
        <v>0</v>
      </c>
      <c r="G34" s="116">
        <f t="shared" si="1"/>
        <v>0</v>
      </c>
      <c r="H34" s="116">
        <f t="shared" si="1"/>
        <v>0</v>
      </c>
      <c r="I34" s="116">
        <f t="shared" si="1"/>
        <v>0</v>
      </c>
    </row>
    <row r="35" spans="1:9" ht="13.5" thickTop="1" x14ac:dyDescent="0.2">
      <c r="A35" s="49"/>
      <c r="D35" s="17"/>
      <c r="E35" s="17"/>
      <c r="F35" s="17"/>
      <c r="G35" s="17"/>
      <c r="H35" s="17"/>
      <c r="I35" s="17"/>
    </row>
    <row r="36" spans="1:9" x14ac:dyDescent="0.2">
      <c r="D36" s="17"/>
      <c r="E36" s="17"/>
      <c r="F36" s="17"/>
      <c r="G36" s="17"/>
      <c r="H36" s="17"/>
      <c r="I36" s="17"/>
    </row>
    <row r="37" spans="1:9" x14ac:dyDescent="0.2">
      <c r="D37" s="17"/>
      <c r="E37" s="17"/>
      <c r="F37" s="17"/>
      <c r="G37" s="17"/>
      <c r="H37" s="17"/>
      <c r="I37" s="17"/>
    </row>
    <row r="38" spans="1:9" x14ac:dyDescent="0.2">
      <c r="B38" s="18"/>
      <c r="C38" s="18"/>
      <c r="D38" s="17"/>
      <c r="E38" s="17"/>
      <c r="F38" s="17"/>
      <c r="G38" s="17"/>
      <c r="H38" s="17"/>
      <c r="I38" s="17"/>
    </row>
    <row r="40" spans="1:9" x14ac:dyDescent="0.2">
      <c r="D40" s="17"/>
      <c r="E40" s="17"/>
      <c r="F40" s="17"/>
      <c r="G40" s="17"/>
      <c r="H40" s="17"/>
      <c r="I40" s="17"/>
    </row>
  </sheetData>
  <mergeCells count="5">
    <mergeCell ref="A4:I4"/>
    <mergeCell ref="A8:I8"/>
    <mergeCell ref="A5:I5"/>
    <mergeCell ref="A6:I6"/>
    <mergeCell ref="A7:I7"/>
  </mergeCells>
  <pageMargins left="0.7" right="0.7" top="0.75" bottom="0.75" header="0.3" footer="0.3"/>
  <pageSetup scale="63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/>
  </sheetViews>
  <sheetFormatPr defaultRowHeight="15" x14ac:dyDescent="0.25"/>
  <cols>
    <col min="1" max="1" width="2.7109375" customWidth="1"/>
    <col min="2" max="2" width="126.28515625" customWidth="1"/>
  </cols>
  <sheetData>
    <row r="1" spans="2:2" x14ac:dyDescent="0.25">
      <c r="B1" s="57"/>
    </row>
    <row r="2" spans="2:2" x14ac:dyDescent="0.25">
      <c r="B2" s="58" t="s">
        <v>38</v>
      </c>
    </row>
    <row r="3" spans="2:2" x14ac:dyDescent="0.25">
      <c r="B3" s="57"/>
    </row>
    <row r="4" spans="2:2" x14ac:dyDescent="0.25">
      <c r="B4" s="57" t="s">
        <v>39</v>
      </c>
    </row>
    <row r="5" spans="2:2" x14ac:dyDescent="0.25">
      <c r="B5" s="57"/>
    </row>
    <row r="6" spans="2:2" x14ac:dyDescent="0.25">
      <c r="B6" s="57"/>
    </row>
  </sheetData>
  <pageMargins left="0.7" right="0.7" top="0.75" bottom="0.75" header="0.3" footer="0.3"/>
  <pageSetup scale="64" orientation="landscape" r:id="rId1"/>
  <headerFooter>
    <oddHeader>&amp;RRevenue Exhibit
Page &amp;P of &amp;N</oddHeader>
    <oddFooter>&amp;C&amp;F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30" ma:contentTypeDescription="Create a new document." ma:contentTypeScope="" ma:versionID="3684ef0c50068affd1c40a2efe548bb6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283d0da0a23a82ede699ea5e9dcfcdd3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  <xsd:enumeration value="Administrative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19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>Discovery</Document_x0020_Type>
    <SERS_x0020_Doc_x0020_Status xmlns="7203d2c3-413f-43d7-a52d-eb1ac8076465">Draft</SERS_x0020_Doc_x0020_Status>
    <Final_x0020_Due_x0020_Date xmlns="7203d2c3-413f-43d7-a52d-eb1ac8076465" xsi:nil="true"/>
    <Docket_x0020_Number xmlns="7203d2c3-413f-43d7-a52d-eb1ac8076465">2018-00358-GRC</Docket_x0020_Number>
    <Internal_x0020_Reviewer xmlns="7203d2c3-413f-43d7-a52d-eb1ac8076465">
      <UserInfo>
        <DisplayName/>
        <AccountId xsi:nil="true"/>
        <AccountType/>
      </UserInfo>
    </Internal_x0020_Reviewer>
    <DR_x0020_Series xmlns="7203d2c3-413f-43d7-a52d-eb1ac8076465">Set 02</DR_x0020_Series>
  </documentManagement>
</p:properties>
</file>

<file path=customXml/itemProps1.xml><?xml version="1.0" encoding="utf-8"?>
<ds:datastoreItem xmlns:ds="http://schemas.openxmlformats.org/officeDocument/2006/customXml" ds:itemID="{3904215C-2D09-415A-98B8-387304977876}"/>
</file>

<file path=customXml/itemProps2.xml><?xml version="1.0" encoding="utf-8"?>
<ds:datastoreItem xmlns:ds="http://schemas.openxmlformats.org/officeDocument/2006/customXml" ds:itemID="{F9B5A1CE-E388-4C7D-B84D-5B9C637B391D}"/>
</file>

<file path=customXml/itemProps3.xml><?xml version="1.0" encoding="utf-8"?>
<ds:datastoreItem xmlns:ds="http://schemas.openxmlformats.org/officeDocument/2006/customXml" ds:itemID="{76268BE2-6EB8-4551-997E-D6B7462DB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Link In</vt:lpstr>
      <vt:lpstr>Link Out</vt:lpstr>
      <vt:lpstr>Exhibit</vt:lpstr>
      <vt:lpstr>Operating Revenues</vt:lpstr>
      <vt:lpstr>Other Revenues</vt:lpstr>
      <vt:lpstr>Proposed Rates</vt:lpstr>
      <vt:lpstr>Prop Rates Other Revenues</vt:lpstr>
      <vt:lpstr>Notes</vt:lpstr>
      <vt:lpstr>Exhibit!Print_Area</vt:lpstr>
      <vt:lpstr>'Link In'!Print_Area</vt:lpstr>
      <vt:lpstr>Notes!Print_Area</vt:lpstr>
      <vt:lpstr>'Operating Revenues'!Print_Area</vt:lpstr>
      <vt:lpstr>'Other Revenues'!Print_Area</vt:lpstr>
      <vt:lpstr>'Prop Rates Other Revenues'!Print_Area</vt:lpstr>
      <vt:lpstr>'Proposed Rates'!Print_Area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KAW_R_PSCDR2_NUM011_012519_Attachment_2_Exhibit 37_Schedule M-1</dc:title>
  <dc:creator>Peter J. Thakadiyil</dc:creator>
  <cp:lastModifiedBy>Peter Z. Yuan</cp:lastModifiedBy>
  <cp:lastPrinted>2019-01-16T01:41:55Z</cp:lastPrinted>
  <dcterms:created xsi:type="dcterms:W3CDTF">2012-04-25T13:21:07Z</dcterms:created>
  <dcterms:modified xsi:type="dcterms:W3CDTF">2019-01-16T01:56:53Z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0x0101007A55C7437F39F8419B9D8679B2A7FECC</vt:lpwstr>
  </property>
  <property fmtid="{D5CDD505-2E9C-101B-9397-08002B2CF9AE}" pid="4" name="Order">
    <vt:r8>493200</vt:r8>
  </property>
</Properties>
</file>