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18-00306 - 6-Month Review\DR1\Files for Responses to be Uploaded\"/>
    </mc:Choice>
  </mc:AlternateContent>
  <bookViews>
    <workbookView xWindow="0" yWindow="0" windowWidth="28800" windowHeight="12315"/>
  </bookViews>
  <sheets>
    <sheet name="Big Sandy" sheetId="1" r:id="rId1"/>
    <sheet name="Blue Grass" sheetId="2" r:id="rId2"/>
    <sheet name="Clark" sheetId="3" r:id="rId3"/>
    <sheet name="Cumberland Valley" sheetId="4" r:id="rId4"/>
    <sheet name="Farmers" sheetId="5" r:id="rId5"/>
    <sheet name="Fleming-Mason Rate E" sheetId="6" r:id="rId6"/>
    <sheet name="Fleming-Mason - Steam &amp; Indust." sheetId="7" r:id="rId7"/>
    <sheet name="Grayson" sheetId="8" r:id="rId8"/>
    <sheet name="Inter-County" sheetId="9" r:id="rId9"/>
    <sheet name="Jackson" sheetId="10" r:id="rId10"/>
    <sheet name="Licking Valley" sheetId="11" r:id="rId11"/>
    <sheet name="Nolin" sheetId="12" r:id="rId12"/>
    <sheet name="Owen - Rate E" sheetId="13" r:id="rId13"/>
    <sheet name="Owen - Industrial" sheetId="14" r:id="rId14"/>
    <sheet name="Salt River" sheetId="15" r:id="rId15"/>
    <sheet name="Shelby" sheetId="16" r:id="rId16"/>
    <sheet name="South Kentucky" sheetId="17" r:id="rId17"/>
    <sheet name="Taylor County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8" l="1"/>
  <c r="E31" i="18" s="1"/>
  <c r="D60" i="18"/>
  <c r="D61" i="18" s="1"/>
  <c r="E30" i="18" s="1"/>
  <c r="G30" i="18" s="1"/>
  <c r="G40" i="18"/>
  <c r="D31" i="18"/>
  <c r="D30" i="18"/>
  <c r="D22" i="18"/>
  <c r="F22" i="18" s="1"/>
  <c r="D21" i="18"/>
  <c r="F21" i="18" s="1"/>
  <c r="D20" i="18"/>
  <c r="F20" i="18" s="1"/>
  <c r="D19" i="18"/>
  <c r="F19" i="18" s="1"/>
  <c r="D18" i="18"/>
  <c r="F18" i="18" s="1"/>
  <c r="F17" i="18"/>
  <c r="D17" i="18"/>
  <c r="D16" i="18"/>
  <c r="F16" i="18" s="1"/>
  <c r="F15" i="18"/>
  <c r="G15" i="18" s="1"/>
  <c r="G16" i="18" s="1"/>
  <c r="G17" i="18" s="1"/>
  <c r="G18" i="18" s="1"/>
  <c r="D15" i="18"/>
  <c r="G14" i="18"/>
  <c r="G19" i="18" l="1"/>
  <c r="G20" i="18" s="1"/>
  <c r="G31" i="18"/>
  <c r="G32" i="18"/>
  <c r="G41" i="18" s="1"/>
  <c r="G43" i="18" s="1"/>
  <c r="G47" i="18"/>
  <c r="G34" i="18" l="1"/>
  <c r="G21" i="18"/>
  <c r="G22" i="18" s="1"/>
  <c r="G36" i="18" l="1"/>
  <c r="G45" i="18"/>
  <c r="G49" i="18" s="1"/>
  <c r="F63" i="17" l="1"/>
  <c r="E33" i="17" s="1"/>
  <c r="E63" i="17"/>
  <c r="E32" i="17" s="1"/>
  <c r="D63" i="17"/>
  <c r="G42" i="17"/>
  <c r="D33" i="17"/>
  <c r="D32" i="17"/>
  <c r="E31" i="17"/>
  <c r="D31" i="17"/>
  <c r="G31" i="17" s="1"/>
  <c r="D23" i="17"/>
  <c r="F23" i="17" s="1"/>
  <c r="F22" i="17"/>
  <c r="D22" i="17"/>
  <c r="D21" i="17"/>
  <c r="F21" i="17" s="1"/>
  <c r="D20" i="17"/>
  <c r="F20" i="17" s="1"/>
  <c r="F19" i="17"/>
  <c r="D19" i="17"/>
  <c r="D18" i="17"/>
  <c r="F18" i="17" s="1"/>
  <c r="D17" i="17"/>
  <c r="F17" i="17" s="1"/>
  <c r="D16" i="17"/>
  <c r="F16" i="17" s="1"/>
  <c r="G49" i="17" s="1"/>
  <c r="G15" i="17"/>
  <c r="G16" i="17" s="1"/>
  <c r="G17" i="17" s="1"/>
  <c r="G18" i="17" s="1"/>
  <c r="G19" i="17" s="1"/>
  <c r="G20" i="17" s="1"/>
  <c r="G21" i="17" s="1"/>
  <c r="G22" i="17" l="1"/>
  <c r="G23" i="17" s="1"/>
  <c r="G33" i="17"/>
  <c r="G32" i="17"/>
  <c r="G34" i="17" s="1"/>
  <c r="G43" i="17" l="1"/>
  <c r="G45" i="17" s="1"/>
  <c r="G36" i="17"/>
  <c r="G38" i="17" l="1"/>
  <c r="G47" i="17"/>
  <c r="G51" i="17" s="1"/>
  <c r="E61" i="16" l="1"/>
  <c r="E31" i="16" s="1"/>
  <c r="D61" i="16"/>
  <c r="E30" i="16" s="1"/>
  <c r="D60" i="16"/>
  <c r="G40" i="16"/>
  <c r="D31" i="16"/>
  <c r="D30" i="16"/>
  <c r="G30" i="16" s="1"/>
  <c r="F22" i="16"/>
  <c r="D22" i="16"/>
  <c r="D21" i="16"/>
  <c r="F21" i="16" s="1"/>
  <c r="F20" i="16"/>
  <c r="D20" i="16"/>
  <c r="D19" i="16"/>
  <c r="F19" i="16" s="1"/>
  <c r="D18" i="16"/>
  <c r="F18" i="16" s="1"/>
  <c r="D17" i="16"/>
  <c r="F17" i="16" s="1"/>
  <c r="D16" i="16"/>
  <c r="F16" i="16" s="1"/>
  <c r="D15" i="16"/>
  <c r="F15" i="16" s="1"/>
  <c r="G14" i="16"/>
  <c r="G15" i="16" l="1"/>
  <c r="G16" i="16" s="1"/>
  <c r="G17" i="16" s="1"/>
  <c r="G18" i="16" s="1"/>
  <c r="G19" i="16" s="1"/>
  <c r="G20" i="16" s="1"/>
  <c r="G47" i="16"/>
  <c r="G31" i="16"/>
  <c r="G32" i="16" s="1"/>
  <c r="G41" i="16" s="1"/>
  <c r="G43" i="16" s="1"/>
  <c r="G34" i="16" l="1"/>
  <c r="G21" i="16"/>
  <c r="G22" i="16" s="1"/>
  <c r="G45" i="16" l="1"/>
  <c r="G49" i="16" s="1"/>
  <c r="G36" i="16"/>
  <c r="F63" i="15" l="1"/>
  <c r="E33" i="15" s="1"/>
  <c r="E63" i="15"/>
  <c r="E32" i="15" s="1"/>
  <c r="D63" i="15"/>
  <c r="E31" i="15" s="1"/>
  <c r="G31" i="15" s="1"/>
  <c r="G42" i="15"/>
  <c r="D33" i="15"/>
  <c r="D32" i="15"/>
  <c r="D31" i="15"/>
  <c r="D23" i="15"/>
  <c r="F23" i="15" s="1"/>
  <c r="D22" i="15"/>
  <c r="F22" i="15" s="1"/>
  <c r="D21" i="15"/>
  <c r="F21" i="15" s="1"/>
  <c r="D20" i="15"/>
  <c r="F20" i="15" s="1"/>
  <c r="F19" i="15"/>
  <c r="D19" i="15"/>
  <c r="D18" i="15"/>
  <c r="F18" i="15" s="1"/>
  <c r="D17" i="15"/>
  <c r="F17" i="15" s="1"/>
  <c r="D16" i="15"/>
  <c r="F16" i="15" s="1"/>
  <c r="G15" i="15"/>
  <c r="G34" i="15" l="1"/>
  <c r="G43" i="15" s="1"/>
  <c r="G45" i="15" s="1"/>
  <c r="G49" i="15"/>
  <c r="G16" i="15"/>
  <c r="G17" i="15" s="1"/>
  <c r="G18" i="15" s="1"/>
  <c r="G19" i="15" s="1"/>
  <c r="G20" i="15" s="1"/>
  <c r="G21" i="15" s="1"/>
  <c r="G32" i="15"/>
  <c r="G33" i="15"/>
  <c r="G22" i="15" l="1"/>
  <c r="G23" i="15" s="1"/>
  <c r="G36" i="15"/>
  <c r="G47" i="15" l="1"/>
  <c r="G51" i="15" s="1"/>
  <c r="G38" i="15"/>
  <c r="E40" i="14" l="1"/>
  <c r="C40" i="14"/>
  <c r="C39" i="14"/>
  <c r="E39" i="14" s="1"/>
  <c r="E38" i="14"/>
  <c r="C38" i="14"/>
  <c r="C37" i="14"/>
  <c r="E37" i="14" s="1"/>
  <c r="C36" i="14"/>
  <c r="E36" i="14" s="1"/>
  <c r="C35" i="14"/>
  <c r="E35" i="14" s="1"/>
  <c r="E34" i="14"/>
  <c r="C34" i="14"/>
  <c r="C33" i="14"/>
  <c r="E33" i="14" s="1"/>
  <c r="F33" i="14" s="1"/>
  <c r="F34" i="14" s="1"/>
  <c r="E20" i="14"/>
  <c r="E19" i="14"/>
  <c r="E18" i="14"/>
  <c r="E17" i="14"/>
  <c r="E16" i="14"/>
  <c r="C15" i="14"/>
  <c r="E15" i="14" s="1"/>
  <c r="F14" i="14"/>
  <c r="E14" i="14"/>
  <c r="F13" i="14"/>
  <c r="E13" i="14"/>
  <c r="F63" i="13"/>
  <c r="E63" i="13"/>
  <c r="D63" i="13"/>
  <c r="E31" i="13" s="1"/>
  <c r="E33" i="13"/>
  <c r="D33" i="13"/>
  <c r="G33" i="13" s="1"/>
  <c r="G32" i="13"/>
  <c r="E32" i="13"/>
  <c r="D32" i="13"/>
  <c r="D31" i="13"/>
  <c r="E23" i="13"/>
  <c r="F23" i="13" s="1"/>
  <c r="D23" i="13"/>
  <c r="E22" i="13"/>
  <c r="D22" i="13"/>
  <c r="F22" i="13" s="1"/>
  <c r="E21" i="13"/>
  <c r="D21" i="13"/>
  <c r="F21" i="13" s="1"/>
  <c r="E20" i="13"/>
  <c r="D20" i="13"/>
  <c r="F20" i="13" s="1"/>
  <c r="E19" i="13"/>
  <c r="D19" i="13"/>
  <c r="F19" i="13" s="1"/>
  <c r="E18" i="13"/>
  <c r="D18" i="13"/>
  <c r="F18" i="13" s="1"/>
  <c r="E17" i="13"/>
  <c r="D17" i="13"/>
  <c r="F17" i="13" s="1"/>
  <c r="E16" i="13"/>
  <c r="D16" i="13"/>
  <c r="F16" i="13" s="1"/>
  <c r="G15" i="13"/>
  <c r="G42" i="13" s="1"/>
  <c r="F35" i="14" l="1"/>
  <c r="F36" i="14" s="1"/>
  <c r="F37" i="14" s="1"/>
  <c r="F38" i="14" s="1"/>
  <c r="F15" i="14"/>
  <c r="F16" i="14" s="1"/>
  <c r="F17" i="14" s="1"/>
  <c r="F18" i="14" s="1"/>
  <c r="G49" i="13"/>
  <c r="G31" i="13"/>
  <c r="G34" i="13" s="1"/>
  <c r="G43" i="13" s="1"/>
  <c r="G45" i="13" s="1"/>
  <c r="G16" i="13"/>
  <c r="G17" i="13" s="1"/>
  <c r="G18" i="13" s="1"/>
  <c r="G19" i="13" s="1"/>
  <c r="G20" i="13" s="1"/>
  <c r="G21" i="13" s="1"/>
  <c r="F39" i="14" l="1"/>
  <c r="F40" i="14" s="1"/>
  <c r="F42" i="14"/>
  <c r="F44" i="14" s="1"/>
  <c r="F22" i="14"/>
  <c r="F24" i="14" s="1"/>
  <c r="F19" i="14"/>
  <c r="F20" i="14" s="1"/>
  <c r="G22" i="13"/>
  <c r="G23" i="13" s="1"/>
  <c r="G36" i="13"/>
  <c r="G38" i="13" l="1"/>
  <c r="G47" i="13"/>
  <c r="G51" i="13" s="1"/>
  <c r="E61" i="12" l="1"/>
  <c r="E31" i="12" s="1"/>
  <c r="D61" i="12"/>
  <c r="E30" i="12" s="1"/>
  <c r="G40" i="12"/>
  <c r="D31" i="12"/>
  <c r="D30" i="12"/>
  <c r="G30" i="12" s="1"/>
  <c r="D22" i="12"/>
  <c r="F22" i="12" s="1"/>
  <c r="D21" i="12"/>
  <c r="F21" i="12" s="1"/>
  <c r="D20" i="12"/>
  <c r="F20" i="12" s="1"/>
  <c r="D19" i="12"/>
  <c r="F19" i="12" s="1"/>
  <c r="E18" i="12"/>
  <c r="D18" i="12"/>
  <c r="F18" i="12" s="1"/>
  <c r="D17" i="12"/>
  <c r="F17" i="12" s="1"/>
  <c r="D16" i="12"/>
  <c r="F16" i="12" s="1"/>
  <c r="D15" i="12"/>
  <c r="F15" i="12" s="1"/>
  <c r="G14" i="12"/>
  <c r="G32" i="12" l="1"/>
  <c r="G41" i="12" s="1"/>
  <c r="G31" i="12"/>
  <c r="G47" i="12"/>
  <c r="G15" i="12"/>
  <c r="G16" i="12" s="1"/>
  <c r="G17" i="12" s="1"/>
  <c r="G18" i="12" s="1"/>
  <c r="G19" i="12" s="1"/>
  <c r="G20" i="12" s="1"/>
  <c r="G43" i="12"/>
  <c r="G34" i="12" l="1"/>
  <c r="G21" i="12"/>
  <c r="G22" i="12" s="1"/>
  <c r="G45" i="12" l="1"/>
  <c r="G49" i="12" s="1"/>
  <c r="G36" i="12"/>
  <c r="E61" i="11" l="1"/>
  <c r="E31" i="11" s="1"/>
  <c r="D61" i="11"/>
  <c r="E30" i="11" s="1"/>
  <c r="D31" i="11"/>
  <c r="G31" i="11" s="1"/>
  <c r="D30" i="11"/>
  <c r="G30" i="11" s="1"/>
  <c r="G32" i="11" s="1"/>
  <c r="G41" i="11" s="1"/>
  <c r="F22" i="11"/>
  <c r="D22" i="11"/>
  <c r="D21" i="11"/>
  <c r="F21" i="11" s="1"/>
  <c r="D20" i="11"/>
  <c r="F20" i="11" s="1"/>
  <c r="D19" i="11"/>
  <c r="F19" i="11" s="1"/>
  <c r="D18" i="11"/>
  <c r="F18" i="11" s="1"/>
  <c r="D17" i="11"/>
  <c r="F17" i="11" s="1"/>
  <c r="D16" i="11"/>
  <c r="F16" i="11" s="1"/>
  <c r="D15" i="11"/>
  <c r="F15" i="11" s="1"/>
  <c r="G14" i="11"/>
  <c r="G15" i="11" s="1"/>
  <c r="G16" i="11" s="1"/>
  <c r="G17" i="11" s="1"/>
  <c r="G18" i="11" s="1"/>
  <c r="G19" i="11" s="1"/>
  <c r="G20" i="11" s="1"/>
  <c r="G34" i="11" l="1"/>
  <c r="G21" i="11"/>
  <c r="G22" i="11" s="1"/>
  <c r="G47" i="11"/>
  <c r="G40" i="11"/>
  <c r="G43" i="11" s="1"/>
  <c r="G36" i="11" l="1"/>
  <c r="G45" i="11"/>
  <c r="G49" i="11" s="1"/>
  <c r="E61" i="10" l="1"/>
  <c r="D61" i="10"/>
  <c r="E30" i="10" s="1"/>
  <c r="E31" i="10"/>
  <c r="D31" i="10"/>
  <c r="G31" i="10" s="1"/>
  <c r="D30" i="10"/>
  <c r="G30" i="10" s="1"/>
  <c r="G32" i="10" s="1"/>
  <c r="G41" i="10" s="1"/>
  <c r="D22" i="10"/>
  <c r="F22" i="10" s="1"/>
  <c r="F21" i="10"/>
  <c r="D21" i="10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G14" i="10"/>
  <c r="G15" i="10" l="1"/>
  <c r="G16" i="10" s="1"/>
  <c r="G17" i="10" s="1"/>
  <c r="G18" i="10" s="1"/>
  <c r="G19" i="10" s="1"/>
  <c r="G20" i="10" s="1"/>
  <c r="G47" i="10"/>
  <c r="G40" i="10"/>
  <c r="G43" i="10" s="1"/>
  <c r="G34" i="10" l="1"/>
  <c r="G21" i="10"/>
  <c r="G22" i="10" s="1"/>
  <c r="G36" i="10" l="1"/>
  <c r="G45" i="10"/>
  <c r="G49" i="10" s="1"/>
  <c r="F63" i="9" l="1"/>
  <c r="E63" i="9"/>
  <c r="E32" i="9" s="1"/>
  <c r="D63" i="9"/>
  <c r="G33" i="9"/>
  <c r="E33" i="9"/>
  <c r="D33" i="9"/>
  <c r="D32" i="9"/>
  <c r="E31" i="9"/>
  <c r="D31" i="9"/>
  <c r="G31" i="9" s="1"/>
  <c r="F23" i="9"/>
  <c r="E23" i="9"/>
  <c r="D23" i="9"/>
  <c r="D22" i="9"/>
  <c r="F22" i="9" s="1"/>
  <c r="F21" i="9"/>
  <c r="D21" i="9"/>
  <c r="D20" i="9"/>
  <c r="F20" i="9" s="1"/>
  <c r="D19" i="9"/>
  <c r="F19" i="9" s="1"/>
  <c r="F18" i="9"/>
  <c r="D18" i="9"/>
  <c r="D17" i="9"/>
  <c r="F17" i="9" s="1"/>
  <c r="F16" i="9"/>
  <c r="D16" i="9"/>
  <c r="G15" i="9"/>
  <c r="G42" i="9" s="1"/>
  <c r="G32" i="9" l="1"/>
  <c r="G34" i="9"/>
  <c r="G43" i="9" s="1"/>
  <c r="G45" i="9" s="1"/>
  <c r="G49" i="9"/>
  <c r="G16" i="9"/>
  <c r="G17" i="9" s="1"/>
  <c r="G18" i="9" s="1"/>
  <c r="G19" i="9" s="1"/>
  <c r="G20" i="9" s="1"/>
  <c r="G21" i="9" s="1"/>
  <c r="G22" i="9" l="1"/>
  <c r="G23" i="9" s="1"/>
  <c r="G36" i="9"/>
  <c r="G47" i="9" l="1"/>
  <c r="G51" i="9" s="1"/>
  <c r="G38" i="9"/>
  <c r="F63" i="8" l="1"/>
  <c r="E63" i="8"/>
  <c r="E32" i="8" s="1"/>
  <c r="D63" i="8"/>
  <c r="E33" i="8"/>
  <c r="D33" i="8"/>
  <c r="G33" i="8" s="1"/>
  <c r="D32" i="8"/>
  <c r="E31" i="8"/>
  <c r="D31" i="8"/>
  <c r="G31" i="8" s="1"/>
  <c r="F23" i="8"/>
  <c r="D23" i="8"/>
  <c r="D22" i="8"/>
  <c r="F22" i="8" s="1"/>
  <c r="D21" i="8"/>
  <c r="F21" i="8" s="1"/>
  <c r="D20" i="8"/>
  <c r="F20" i="8" s="1"/>
  <c r="D19" i="8"/>
  <c r="F19" i="8" s="1"/>
  <c r="D18" i="8"/>
  <c r="F18" i="8" s="1"/>
  <c r="D17" i="8"/>
  <c r="F17" i="8" s="1"/>
  <c r="D16" i="8"/>
  <c r="F16" i="8" s="1"/>
  <c r="G49" i="8" s="1"/>
  <c r="G15" i="8"/>
  <c r="G42" i="8" s="1"/>
  <c r="G32" i="8" l="1"/>
  <c r="G34" i="8" s="1"/>
  <c r="G43" i="8" s="1"/>
  <c r="G45" i="8" s="1"/>
  <c r="G16" i="8"/>
  <c r="G17" i="8" s="1"/>
  <c r="G18" i="8" s="1"/>
  <c r="G19" i="8" s="1"/>
  <c r="G20" i="8" s="1"/>
  <c r="G21" i="8" s="1"/>
  <c r="G22" i="8" l="1"/>
  <c r="G23" i="8" s="1"/>
  <c r="G36" i="8"/>
  <c r="G38" i="8" l="1"/>
  <c r="G47" i="8"/>
  <c r="G51" i="8" s="1"/>
  <c r="D20" i="7" l="1"/>
  <c r="C20" i="7"/>
  <c r="E20" i="7" s="1"/>
  <c r="E19" i="7"/>
  <c r="D19" i="7"/>
  <c r="C19" i="7"/>
  <c r="D18" i="7"/>
  <c r="C18" i="7"/>
  <c r="E18" i="7" s="1"/>
  <c r="E17" i="7"/>
  <c r="D17" i="7"/>
  <c r="C17" i="7"/>
  <c r="D16" i="7"/>
  <c r="C16" i="7"/>
  <c r="E16" i="7" s="1"/>
  <c r="E15" i="7"/>
  <c r="D15" i="7"/>
  <c r="C15" i="7"/>
  <c r="D14" i="7"/>
  <c r="C14" i="7"/>
  <c r="E14" i="7" s="1"/>
  <c r="E13" i="7"/>
  <c r="F13" i="7" s="1"/>
  <c r="F14" i="7" s="1"/>
  <c r="F15" i="7" s="1"/>
  <c r="F16" i="7" s="1"/>
  <c r="F17" i="7" s="1"/>
  <c r="F18" i="7" s="1"/>
  <c r="D13" i="7"/>
  <c r="C13" i="7"/>
  <c r="F63" i="6"/>
  <c r="E33" i="6" s="1"/>
  <c r="G33" i="6" s="1"/>
  <c r="E63" i="6"/>
  <c r="E32" i="6" s="1"/>
  <c r="D63" i="6"/>
  <c r="G42" i="6"/>
  <c r="D33" i="6"/>
  <c r="D32" i="6"/>
  <c r="E31" i="6"/>
  <c r="G31" i="6" s="1"/>
  <c r="D31" i="6"/>
  <c r="E23" i="6"/>
  <c r="D23" i="6"/>
  <c r="F23" i="6" s="1"/>
  <c r="E22" i="6"/>
  <c r="F22" i="6" s="1"/>
  <c r="D22" i="6"/>
  <c r="E21" i="6"/>
  <c r="D21" i="6"/>
  <c r="F21" i="6" s="1"/>
  <c r="E20" i="6"/>
  <c r="F20" i="6" s="1"/>
  <c r="D20" i="6"/>
  <c r="E19" i="6"/>
  <c r="D19" i="6"/>
  <c r="F19" i="6" s="1"/>
  <c r="E18" i="6"/>
  <c r="F18" i="6" s="1"/>
  <c r="D18" i="6"/>
  <c r="E17" i="6"/>
  <c r="D17" i="6"/>
  <c r="F17" i="6" s="1"/>
  <c r="E16" i="6"/>
  <c r="F16" i="6" s="1"/>
  <c r="D16" i="6"/>
  <c r="G15" i="6"/>
  <c r="F22" i="7" l="1"/>
  <c r="F24" i="7" s="1"/>
  <c r="F19" i="7"/>
  <c r="F20" i="7" s="1"/>
  <c r="G49" i="6"/>
  <c r="G16" i="6"/>
  <c r="G17" i="6" s="1"/>
  <c r="G18" i="6" s="1"/>
  <c r="G19" i="6" s="1"/>
  <c r="G20" i="6" s="1"/>
  <c r="G21" i="6" s="1"/>
  <c r="G32" i="6"/>
  <c r="G34" i="6" s="1"/>
  <c r="G43" i="6" s="1"/>
  <c r="G45" i="6" s="1"/>
  <c r="G36" i="6" l="1"/>
  <c r="G22" i="6"/>
  <c r="G23" i="6" s="1"/>
  <c r="G47" i="6" l="1"/>
  <c r="G51" i="6" s="1"/>
  <c r="G38" i="6"/>
  <c r="F63" i="5" l="1"/>
  <c r="E63" i="5"/>
  <c r="E32" i="5" s="1"/>
  <c r="D63" i="5"/>
  <c r="E31" i="5" s="1"/>
  <c r="G31" i="5" s="1"/>
  <c r="E33" i="5"/>
  <c r="D33" i="5"/>
  <c r="G33" i="5" s="1"/>
  <c r="D32" i="5"/>
  <c r="D31" i="5"/>
  <c r="F23" i="5"/>
  <c r="D23" i="5"/>
  <c r="D22" i="5"/>
  <c r="F22" i="5" s="1"/>
  <c r="D21" i="5"/>
  <c r="F21" i="5" s="1"/>
  <c r="D20" i="5"/>
  <c r="F20" i="5" s="1"/>
  <c r="F19" i="5"/>
  <c r="D19" i="5"/>
  <c r="D18" i="5"/>
  <c r="F18" i="5" s="1"/>
  <c r="D17" i="5"/>
  <c r="F17" i="5" s="1"/>
  <c r="D16" i="5"/>
  <c r="F16" i="5" s="1"/>
  <c r="G15" i="5"/>
  <c r="G42" i="5" s="1"/>
  <c r="G16" i="5" l="1"/>
  <c r="G17" i="5" s="1"/>
  <c r="G18" i="5" s="1"/>
  <c r="G19" i="5" s="1"/>
  <c r="G20" i="5" s="1"/>
  <c r="G21" i="5" s="1"/>
  <c r="G49" i="5"/>
  <c r="G32" i="5"/>
  <c r="G34" i="5" s="1"/>
  <c r="G43" i="5" s="1"/>
  <c r="G45" i="5" s="1"/>
  <c r="G22" i="5" l="1"/>
  <c r="G23" i="5" s="1"/>
  <c r="G36" i="5"/>
  <c r="G47" i="5" l="1"/>
  <c r="G51" i="5" s="1"/>
  <c r="G38" i="5"/>
  <c r="F63" i="4" l="1"/>
  <c r="E33" i="4" s="1"/>
  <c r="E63" i="4"/>
  <c r="E32" i="4" s="1"/>
  <c r="D63" i="4"/>
  <c r="G42" i="4"/>
  <c r="D33" i="4"/>
  <c r="D32" i="4"/>
  <c r="E31" i="4"/>
  <c r="G31" i="4" s="1"/>
  <c r="D31" i="4"/>
  <c r="D23" i="4"/>
  <c r="F23" i="4" s="1"/>
  <c r="D22" i="4"/>
  <c r="F22" i="4" s="1"/>
  <c r="F21" i="4"/>
  <c r="D21" i="4"/>
  <c r="D20" i="4"/>
  <c r="F20" i="4" s="1"/>
  <c r="D19" i="4"/>
  <c r="F19" i="4" s="1"/>
  <c r="E18" i="4"/>
  <c r="D18" i="4"/>
  <c r="F18" i="4" s="1"/>
  <c r="D17" i="4"/>
  <c r="F17" i="4" s="1"/>
  <c r="G16" i="4"/>
  <c r="G17" i="4" s="1"/>
  <c r="G18" i="4" s="1"/>
  <c r="G19" i="4" s="1"/>
  <c r="G20" i="4" s="1"/>
  <c r="G21" i="4" s="1"/>
  <c r="F16" i="4"/>
  <c r="G49" i="4" s="1"/>
  <c r="D16" i="4"/>
  <c r="G15" i="4"/>
  <c r="G32" i="4" l="1"/>
  <c r="G34" i="4" s="1"/>
  <c r="G22" i="4"/>
  <c r="G23" i="4" s="1"/>
  <c r="G33" i="4"/>
  <c r="G43" i="4" l="1"/>
  <c r="G45" i="4" s="1"/>
  <c r="G36" i="4"/>
  <c r="G38" i="4" l="1"/>
  <c r="G47" i="4"/>
  <c r="G51" i="4" s="1"/>
  <c r="F63" i="3" l="1"/>
  <c r="E33" i="3" s="1"/>
  <c r="E63" i="3"/>
  <c r="E32" i="3" s="1"/>
  <c r="D63" i="3"/>
  <c r="E31" i="3" s="1"/>
  <c r="G31" i="3" s="1"/>
  <c r="G42" i="3"/>
  <c r="D33" i="3"/>
  <c r="D32" i="3"/>
  <c r="D31" i="3"/>
  <c r="D23" i="3"/>
  <c r="F23" i="3" s="1"/>
  <c r="E22" i="3"/>
  <c r="F22" i="3" s="1"/>
  <c r="D22" i="3"/>
  <c r="D21" i="3"/>
  <c r="F21" i="3" s="1"/>
  <c r="D20" i="3"/>
  <c r="F20" i="3" s="1"/>
  <c r="F19" i="3"/>
  <c r="D19" i="3"/>
  <c r="D18" i="3"/>
  <c r="F18" i="3" s="1"/>
  <c r="D17" i="3"/>
  <c r="F17" i="3" s="1"/>
  <c r="G16" i="3"/>
  <c r="G17" i="3" s="1"/>
  <c r="G18" i="3" s="1"/>
  <c r="G19" i="3" s="1"/>
  <c r="G20" i="3" s="1"/>
  <c r="F16" i="3"/>
  <c r="D16" i="3"/>
  <c r="G15" i="3"/>
  <c r="G21" i="3" l="1"/>
  <c r="G33" i="3"/>
  <c r="G49" i="3"/>
  <c r="G32" i="3"/>
  <c r="G34" i="3"/>
  <c r="G43" i="3" s="1"/>
  <c r="G45" i="3" s="1"/>
  <c r="G36" i="3" l="1"/>
  <c r="G22" i="3"/>
  <c r="G23" i="3" s="1"/>
  <c r="G38" i="3" l="1"/>
  <c r="G47" i="3"/>
  <c r="G51" i="3" s="1"/>
  <c r="F63" i="2" l="1"/>
  <c r="E33" i="2" s="1"/>
  <c r="E63" i="2"/>
  <c r="E32" i="2" s="1"/>
  <c r="D63" i="2"/>
  <c r="G42" i="2"/>
  <c r="D33" i="2"/>
  <c r="D32" i="2"/>
  <c r="E31" i="2"/>
  <c r="G31" i="2" s="1"/>
  <c r="D31" i="2"/>
  <c r="D23" i="2"/>
  <c r="F23" i="2" s="1"/>
  <c r="F22" i="2"/>
  <c r="D22" i="2"/>
  <c r="F21" i="2"/>
  <c r="D21" i="2"/>
  <c r="D20" i="2"/>
  <c r="F20" i="2" s="1"/>
  <c r="D19" i="2"/>
  <c r="F19" i="2" s="1"/>
  <c r="D18" i="2"/>
  <c r="F18" i="2" s="1"/>
  <c r="D17" i="2"/>
  <c r="F17" i="2" s="1"/>
  <c r="F16" i="2"/>
  <c r="G16" i="2" s="1"/>
  <c r="G17" i="2" s="1"/>
  <c r="G18" i="2" s="1"/>
  <c r="G19" i="2" s="1"/>
  <c r="G20" i="2" s="1"/>
  <c r="G21" i="2" s="1"/>
  <c r="D16" i="2"/>
  <c r="G15" i="2"/>
  <c r="G32" i="2" l="1"/>
  <c r="G34" i="2" s="1"/>
  <c r="G33" i="2"/>
  <c r="G22" i="2"/>
  <c r="G23" i="2" s="1"/>
  <c r="G49" i="2"/>
  <c r="G43" i="2" l="1"/>
  <c r="G45" i="2" s="1"/>
  <c r="G36" i="2"/>
  <c r="G47" i="2" l="1"/>
  <c r="G51" i="2" s="1"/>
  <c r="G38" i="2"/>
  <c r="E61" i="1" l="1"/>
  <c r="D60" i="1"/>
  <c r="D61" i="1" s="1"/>
  <c r="E30" i="1" s="1"/>
  <c r="E31" i="1"/>
  <c r="G31" i="1" s="1"/>
  <c r="D31" i="1"/>
  <c r="D30" i="1"/>
  <c r="G30" i="1" s="1"/>
  <c r="G32" i="1" s="1"/>
  <c r="G41" i="1" s="1"/>
  <c r="D22" i="1"/>
  <c r="F22" i="1" s="1"/>
  <c r="D21" i="1"/>
  <c r="F21" i="1" s="1"/>
  <c r="D20" i="1"/>
  <c r="F20" i="1" s="1"/>
  <c r="D19" i="1"/>
  <c r="F19" i="1" s="1"/>
  <c r="D18" i="1"/>
  <c r="F18" i="1" s="1"/>
  <c r="E17" i="1"/>
  <c r="D17" i="1"/>
  <c r="F17" i="1" s="1"/>
  <c r="D16" i="1"/>
  <c r="F16" i="1" s="1"/>
  <c r="D15" i="1"/>
  <c r="F15" i="1" s="1"/>
  <c r="G14" i="1"/>
  <c r="G40" i="1" s="1"/>
  <c r="G43" i="1" s="1"/>
  <c r="G47" i="1" l="1"/>
  <c r="G15" i="1"/>
  <c r="G16" i="1" s="1"/>
  <c r="G17" i="1" s="1"/>
  <c r="G18" i="1" s="1"/>
  <c r="G19" i="1" s="1"/>
  <c r="G20" i="1" s="1"/>
  <c r="G34" i="1" l="1"/>
  <c r="G21" i="1"/>
  <c r="G22" i="1" s="1"/>
  <c r="G36" i="1" l="1"/>
  <c r="G45" i="1"/>
  <c r="G49" i="1" s="1"/>
</calcChain>
</file>

<file path=xl/sharedStrings.xml><?xml version="1.0" encoding="utf-8"?>
<sst xmlns="http://schemas.openxmlformats.org/spreadsheetml/2006/main" count="1145" uniqueCount="92">
  <si>
    <t>Big Sandy - Calculation of (Over)/Under Recovery</t>
  </si>
  <si>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</si>
  <si>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</si>
  <si>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</si>
  <si>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</si>
  <si>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</si>
  <si>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</si>
  <si>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</si>
  <si>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</si>
  <si>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</si>
  <si>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</si>
  <si>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</si>
  <si>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</si>
  <si>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</si>
  <si>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</si>
  <si>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</si>
  <si>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</si>
  <si>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</si>
  <si>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From Case No. 2017-00326 (Over)/Under-Recovery</t>
  </si>
  <si>
    <t>1b</t>
  </si>
  <si>
    <t>From Case No. 2018-00075 (Over)/Under-Recovery</t>
  </si>
  <si>
    <t>1c</t>
  </si>
  <si>
    <t>Total Previous (Over)/Under-Recovery</t>
  </si>
  <si>
    <t>Post</t>
  </si>
  <si>
    <t>Review</t>
  </si>
  <si>
    <t>Less Adjustment for Order amounts remaining to be amortized at end of review period June 2018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</si>
  <si>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</si>
  <si>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</si>
  <si>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</si>
  <si>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</si>
  <si>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</si>
  <si>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</si>
  <si>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</si>
  <si>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</si>
  <si>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</si>
  <si>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</si>
  <si>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</si>
  <si>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</si>
  <si>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</si>
  <si>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</si>
  <si>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Case No. 2017-00326 Recovery</t>
  </si>
  <si>
    <t>8b</t>
  </si>
  <si>
    <t>Case No. 2018-00075 Recovery</t>
  </si>
  <si>
    <t>8c</t>
  </si>
  <si>
    <t xml:space="preserve">Total Order amounts remaining - Over/(Under):      </t>
  </si>
  <si>
    <t>Cumulative six month (Over)/Under-Recovery [Cumulative net of remaining Case amortizations (Ln 7&amp;8c)]</t>
  </si>
  <si>
    <t>Monthly recovery (per month for six months)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</si>
  <si>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</si>
  <si>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</si>
  <si>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</si>
  <si>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</si>
  <si>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</si>
  <si>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</si>
  <si>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</si>
  <si>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</si>
  <si>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</si>
  <si>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>2017-00326</t>
  </si>
  <si>
    <t>2018-00075</t>
  </si>
  <si>
    <t xml:space="preserve">Totals  </t>
  </si>
  <si>
    <t>Blue Grass - Calculation of (Over)/Under Recovery</t>
  </si>
  <si>
    <t>From Case No. 2017-00071 (Over)/Under-Recovery</t>
  </si>
  <si>
    <t>1d</t>
  </si>
  <si>
    <t>Case No. 2017-00071 Recovery</t>
  </si>
  <si>
    <t>8d</t>
  </si>
  <si>
    <t>Cumulative six month (Over)/Under-Recovery [Cumulative net of remaining Case amortizations (Ln 7&amp;8d)]</t>
  </si>
  <si>
    <t>Monthly recovery (per month for six months</t>
  </si>
  <si>
    <t>2017-00071</t>
  </si>
  <si>
    <t>Clark - Calculation of (Over)/Under Recovery</t>
  </si>
  <si>
    <t>Cumberland Valley - Calculation of (Over)/Under Recovery</t>
  </si>
  <si>
    <t>Farmers - Calculation of (Over)/Under Recovery</t>
  </si>
  <si>
    <t>Fleming Mason - Calculation of (Over)/Under Recovery</t>
  </si>
  <si>
    <t>Rate E</t>
  </si>
  <si>
    <t>Less Adjustment for Order amounts remaining to be amortized at end of review period June 2017</t>
  </si>
  <si>
    <t>Fleming-Mason Energy Cooperative - Calculation of (Over)/Under Recovery - Direct Surcharge Pass-Throughs</t>
  </si>
  <si>
    <t>Steam, Rate C, Rate G, and Rate H</t>
  </si>
  <si>
    <t>(1)</t>
  </si>
  <si>
    <t>Cumulative 6-month (Over)/Under Recovery</t>
  </si>
  <si>
    <t>Monthly Recovery (per month for six months)</t>
  </si>
  <si>
    <t>Grayson - Calculation of (Over)/Under Recovery</t>
  </si>
  <si>
    <t>Inter-County - Calculation of (Over)/Under Recovery</t>
  </si>
  <si>
    <t>Jackson - Calculation of (Over)/Under Recovery</t>
  </si>
  <si>
    <t>Licking Valley - Calculation of (Over)/Under Recovery</t>
  </si>
  <si>
    <t>Nolin - Calculation of (Over)/Under Recovery</t>
  </si>
  <si>
    <t>Owen - Calculation of (Over)/Under Recovery</t>
  </si>
  <si>
    <t>Owen Electric Cooperative - Calculation of (Over)/Under Recovery - Direct Surcharge Pass-Throughs</t>
  </si>
  <si>
    <t>Special Contract</t>
  </si>
  <si>
    <t>Rate B Customers</t>
  </si>
  <si>
    <t>Salt River - Calculation of (Over)/Under Recovery</t>
  </si>
  <si>
    <t>Shelby - Calculation of (Over)/Under Recovery</t>
  </si>
  <si>
    <t>South Kentucky - Calculation of (Over)/Under Recovery</t>
  </si>
  <si>
    <t>Difference (reflects rounding differences)</t>
  </si>
  <si>
    <t>Taylor - Calculation of (Over)/Under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</si>
</sst>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</cellStyleXfs>
  <cellXfs count="124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3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7" xfId="0" applyNumberFormat="1" applyFill="1" applyBorder="1"/>
    <xf numFmtId="5" fontId="0" fillId="0" borderId="1" xfId="0" applyNumberFormat="1" applyFill="1" applyBorder="1"/>
    <xf numFmtId="5" fontId="0" fillId="0" borderId="1" xfId="0" applyNumberFormat="1" applyBorder="1"/>
    <xf numFmtId="164" fontId="0" fillId="0" borderId="8" xfId="0" applyNumberFormat="1" applyBorder="1" applyAlignment="1">
      <alignment horizontal="right"/>
    </xf>
    <xf numFmtId="5" fontId="0" fillId="0" borderId="8" xfId="0" applyNumberFormat="1" applyFill="1" applyBorder="1"/>
    <xf numFmtId="5" fontId="0" fillId="0" borderId="14" xfId="0" applyNumberFormat="1" applyFill="1" applyBorder="1"/>
    <xf numFmtId="5" fontId="0" fillId="0" borderId="14" xfId="0" applyNumberFormat="1" applyBorder="1"/>
    <xf numFmtId="5" fontId="0" fillId="0" borderId="8" xfId="0" applyNumberFormat="1" applyBorder="1"/>
    <xf numFmtId="5" fontId="0" fillId="0" borderId="4" xfId="0" applyNumberFormat="1" applyBorder="1"/>
    <xf numFmtId="5" fontId="0" fillId="0" borderId="9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5" fontId="0" fillId="0" borderId="9" xfId="0" applyNumberFormat="1" applyFill="1" applyBorder="1"/>
    <xf numFmtId="5" fontId="0" fillId="0" borderId="4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5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9" xfId="0" applyBorder="1"/>
    <xf numFmtId="5" fontId="0" fillId="0" borderId="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Font="1" applyBorder="1"/>
    <xf numFmtId="5" fontId="0" fillId="0" borderId="10" xfId="0" applyNumberFormat="1" applyBorder="1"/>
    <xf numFmtId="0" fontId="0" fillId="0" borderId="11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2"/>
    <xf numFmtId="0" fontId="2" fillId="0" borderId="0" xfId="2" applyFont="1"/>
    <xf numFmtId="0" fontId="1" fillId="0" borderId="7" xfId="2" applyFont="1" applyBorder="1"/>
    <xf numFmtId="0" fontId="1" fillId="0" borderId="7" xfId="2" applyFont="1" applyBorder="1" applyAlignment="1">
      <alignment horizontal="center"/>
    </xf>
    <xf numFmtId="0" fontId="1" fillId="0" borderId="8" xfId="2" applyFont="1" applyBorder="1"/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9" fontId="1" fillId="0" borderId="10" xfId="2" applyNumberFormat="1" applyFont="1" applyBorder="1" applyAlignment="1">
      <alignment horizontal="center"/>
    </xf>
    <xf numFmtId="17" fontId="6" fillId="0" borderId="7" xfId="3" applyNumberFormat="1" applyFont="1" applyFill="1" applyBorder="1"/>
    <xf numFmtId="5" fontId="1" fillId="0" borderId="8" xfId="4" applyNumberFormat="1" applyFont="1" applyFill="1" applyBorder="1" applyAlignment="1">
      <alignment horizontal="right"/>
    </xf>
    <xf numFmtId="5" fontId="1" fillId="0" borderId="0" xfId="4" applyNumberFormat="1" applyFont="1" applyFill="1" applyBorder="1" applyAlignment="1">
      <alignment horizontal="right"/>
    </xf>
    <xf numFmtId="5" fontId="1" fillId="0" borderId="7" xfId="2" applyNumberFormat="1" applyFont="1" applyBorder="1"/>
    <xf numFmtId="5" fontId="1" fillId="0" borderId="8" xfId="2" applyNumberFormat="1" applyFont="1" applyBorder="1"/>
    <xf numFmtId="17" fontId="6" fillId="0" borderId="8" xfId="3" applyNumberFormat="1" applyFont="1" applyFill="1" applyBorder="1"/>
    <xf numFmtId="5" fontId="1" fillId="0" borderId="8" xfId="2" applyNumberFormat="1" applyFont="1" applyFill="1" applyBorder="1"/>
    <xf numFmtId="17" fontId="6" fillId="0" borderId="9" xfId="3" applyNumberFormat="1" applyFont="1" applyFill="1" applyBorder="1"/>
    <xf numFmtId="5" fontId="1" fillId="0" borderId="9" xfId="2" applyNumberFormat="1" applyFont="1" applyFill="1" applyBorder="1"/>
    <xf numFmtId="5" fontId="1" fillId="0" borderId="9" xfId="2" applyNumberFormat="1" applyFont="1" applyBorder="1"/>
    <xf numFmtId="5" fontId="1" fillId="0" borderId="7" xfId="2" applyNumberFormat="1" applyFont="1" applyFill="1" applyBorder="1"/>
    <xf numFmtId="0" fontId="1" fillId="0" borderId="0" xfId="2" applyFont="1"/>
    <xf numFmtId="0" fontId="1" fillId="0" borderId="11" xfId="2" applyFont="1" applyBorder="1"/>
    <xf numFmtId="0" fontId="1" fillId="0" borderId="12" xfId="2" applyFont="1" applyBorder="1"/>
    <xf numFmtId="0" fontId="1" fillId="0" borderId="13" xfId="2" applyFont="1" applyBorder="1"/>
    <xf numFmtId="5" fontId="1" fillId="0" borderId="10" xfId="2" applyNumberFormat="1" applyFont="1" applyBorder="1"/>
    <xf numFmtId="5" fontId="1" fillId="0" borderId="0" xfId="2" applyNumberFormat="1" applyFon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4" fillId="0" borderId="7" xfId="2" applyBorder="1"/>
    <xf numFmtId="0" fontId="4" fillId="0" borderId="7" xfId="2" applyBorder="1" applyAlignment="1">
      <alignment horizontal="center"/>
    </xf>
    <xf numFmtId="0" fontId="4" fillId="0" borderId="8" xfId="2" applyBorder="1"/>
    <xf numFmtId="0" fontId="4" fillId="0" borderId="8" xfId="2" applyBorder="1" applyAlignment="1">
      <alignment horizontal="center"/>
    </xf>
    <xf numFmtId="0" fontId="4" fillId="0" borderId="9" xfId="2" applyBorder="1" applyAlignment="1">
      <alignment horizontal="center"/>
    </xf>
    <xf numFmtId="0" fontId="4" fillId="0" borderId="10" xfId="2" applyBorder="1" applyAlignment="1">
      <alignment horizontal="center"/>
    </xf>
    <xf numFmtId="49" fontId="4" fillId="0" borderId="10" xfId="2" applyNumberFormat="1" applyBorder="1" applyAlignment="1">
      <alignment horizontal="center"/>
    </xf>
    <xf numFmtId="17" fontId="7" fillId="0" borderId="7" xfId="3" applyNumberFormat="1" applyFont="1" applyFill="1" applyBorder="1"/>
    <xf numFmtId="5" fontId="4" fillId="0" borderId="7" xfId="2" applyNumberFormat="1" applyFill="1" applyBorder="1"/>
    <xf numFmtId="5" fontId="4" fillId="0" borderId="7" xfId="2" applyNumberFormat="1" applyBorder="1"/>
    <xf numFmtId="17" fontId="7" fillId="0" borderId="8" xfId="3" applyNumberFormat="1" applyFont="1" applyFill="1" applyBorder="1"/>
    <xf numFmtId="5" fontId="4" fillId="0" borderId="8" xfId="2" applyNumberFormat="1" applyFill="1" applyBorder="1"/>
    <xf numFmtId="5" fontId="4" fillId="0" borderId="8" xfId="2" applyNumberFormat="1" applyBorder="1"/>
    <xf numFmtId="17" fontId="7" fillId="0" borderId="9" xfId="3" applyNumberFormat="1" applyFont="1" applyFill="1" applyBorder="1"/>
    <xf numFmtId="5" fontId="4" fillId="0" borderId="9" xfId="2" applyNumberFormat="1" applyFill="1" applyBorder="1"/>
    <xf numFmtId="5" fontId="4" fillId="0" borderId="9" xfId="2" applyNumberFormat="1" applyBorder="1"/>
    <xf numFmtId="0" fontId="4" fillId="0" borderId="11" xfId="2" applyBorder="1"/>
    <xf numFmtId="0" fontId="4" fillId="0" borderId="12" xfId="2" applyBorder="1"/>
    <xf numFmtId="0" fontId="4" fillId="0" borderId="13" xfId="2" applyBorder="1"/>
    <xf numFmtId="5" fontId="4" fillId="0" borderId="10" xfId="2" applyNumberFormat="1" applyBorder="1"/>
    <xf numFmtId="5" fontId="4" fillId="0" borderId="0" xfId="2" applyNumberFormat="1"/>
    <xf numFmtId="5" fontId="5" fillId="0" borderId="8" xfId="4" applyNumberFormat="1" applyFill="1" applyBorder="1"/>
    <xf numFmtId="165" fontId="0" fillId="0" borderId="16" xfId="1" applyNumberFormat="1" applyFont="1" applyBorder="1"/>
    <xf numFmtId="165" fontId="0" fillId="0" borderId="6" xfId="1" applyNumberFormat="1" applyFont="1" applyBorder="1"/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2" fillId="0" borderId="5" xfId="2" applyFont="1" applyBorder="1" applyAlignment="1">
      <alignment horizontal="center" wrapText="1"/>
    </xf>
    <xf numFmtId="0" fontId="2" fillId="0" borderId="6" xfId="2" applyFont="1" applyBorder="1" applyAlignment="1">
      <alignment horizontal="center" wrapText="1"/>
    </xf>
  </cellXfs>
  <cellStyles count="5">
    <cellStyle name="Comma" xfId="1" builtinId="3"/>
    <cellStyle name="Currency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tabSelected="1"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0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4" t="s">
        <v>17</v>
      </c>
      <c r="C12" s="8" t="s">
        <v>18</v>
      </c>
      <c r="D12" s="8"/>
      <c r="E12" s="8"/>
      <c r="F12" s="9"/>
      <c r="G12" s="10">
        <v>-921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-5403</v>
      </c>
    </row>
    <row r="14" spans="2:7" x14ac:dyDescent="0.2">
      <c r="B14" s="5" t="s">
        <v>21</v>
      </c>
      <c r="C14" s="8" t="s">
        <v>22</v>
      </c>
      <c r="D14" s="8"/>
      <c r="E14" s="8"/>
      <c r="F14" s="11"/>
      <c r="G14" s="12">
        <f>G12+G13</f>
        <v>-6324</v>
      </c>
    </row>
    <row r="15" spans="2:7" x14ac:dyDescent="0.2">
      <c r="B15" s="4">
        <v>2</v>
      </c>
      <c r="C15" s="13">
        <v>43101</v>
      </c>
      <c r="D15" s="14">
        <f>307137-261</f>
        <v>306876</v>
      </c>
      <c r="E15" s="15">
        <v>292364.39</v>
      </c>
      <c r="F15" s="16">
        <f t="shared" ref="F15:F22" si="0">D15-E15</f>
        <v>14511.609999999986</v>
      </c>
      <c r="G15" s="12">
        <f t="shared" ref="G15:G22" si="1">G14+F15</f>
        <v>8187.609999999986</v>
      </c>
    </row>
    <row r="16" spans="2:7" x14ac:dyDescent="0.2">
      <c r="B16" s="4">
        <v>3</v>
      </c>
      <c r="C16" s="17">
        <v>43132</v>
      </c>
      <c r="D16" s="18">
        <f>139210-172</f>
        <v>139038</v>
      </c>
      <c r="E16" s="19">
        <v>127120.01</v>
      </c>
      <c r="F16" s="20">
        <f t="shared" si="0"/>
        <v>11917.990000000005</v>
      </c>
      <c r="G16" s="21">
        <f t="shared" si="1"/>
        <v>20105.599999999991</v>
      </c>
    </row>
    <row r="17" spans="2:7" x14ac:dyDescent="0.2">
      <c r="B17" s="4">
        <v>4</v>
      </c>
      <c r="C17" s="17">
        <v>43160</v>
      </c>
      <c r="D17" s="18">
        <f>90810-116</f>
        <v>90694</v>
      </c>
      <c r="E17" s="19">
        <f>101930.69</f>
        <v>101930.69</v>
      </c>
      <c r="F17" s="20">
        <f t="shared" si="0"/>
        <v>-11236.690000000002</v>
      </c>
      <c r="G17" s="21">
        <f t="shared" si="1"/>
        <v>8868.9099999999889</v>
      </c>
    </row>
    <row r="18" spans="2:7" x14ac:dyDescent="0.2">
      <c r="B18" s="4">
        <v>5</v>
      </c>
      <c r="C18" s="17">
        <v>43191</v>
      </c>
      <c r="D18" s="18">
        <f>137146-215</f>
        <v>136931</v>
      </c>
      <c r="E18" s="19">
        <v>140399.82</v>
      </c>
      <c r="F18" s="20">
        <f t="shared" si="0"/>
        <v>-3468.820000000007</v>
      </c>
      <c r="G18" s="21">
        <f t="shared" si="1"/>
        <v>5400.089999999982</v>
      </c>
    </row>
    <row r="19" spans="2:7" x14ac:dyDescent="0.2">
      <c r="B19" s="4">
        <v>6</v>
      </c>
      <c r="C19" s="17">
        <v>43221</v>
      </c>
      <c r="D19" s="18">
        <f>145512-230</f>
        <v>145282</v>
      </c>
      <c r="E19" s="19">
        <v>157134.23000000001</v>
      </c>
      <c r="F19" s="20">
        <f t="shared" si="0"/>
        <v>-11852.23000000001</v>
      </c>
      <c r="G19" s="21">
        <f t="shared" si="1"/>
        <v>-6452.1400000000285</v>
      </c>
    </row>
    <row r="20" spans="2:7" x14ac:dyDescent="0.2">
      <c r="B20" s="4">
        <v>7</v>
      </c>
      <c r="C20" s="17">
        <v>43252</v>
      </c>
      <c r="D20" s="18">
        <f>177840-252</f>
        <v>177588</v>
      </c>
      <c r="E20" s="19">
        <v>183082</v>
      </c>
      <c r="F20" s="22">
        <f t="shared" si="0"/>
        <v>-5494</v>
      </c>
      <c r="G20" s="23">
        <f t="shared" si="1"/>
        <v>-11946.140000000029</v>
      </c>
    </row>
    <row r="21" spans="2:7" x14ac:dyDescent="0.2">
      <c r="B21" s="24" t="s">
        <v>23</v>
      </c>
      <c r="C21" s="13">
        <v>43282</v>
      </c>
      <c r="D21" s="14">
        <f>172945-248</f>
        <v>172697</v>
      </c>
      <c r="E21" s="15">
        <v>247667.6</v>
      </c>
      <c r="F21" s="16">
        <f t="shared" si="0"/>
        <v>-74970.600000000006</v>
      </c>
      <c r="G21" s="12">
        <f t="shared" si="1"/>
        <v>-86916.740000000034</v>
      </c>
    </row>
    <row r="22" spans="2:7" x14ac:dyDescent="0.2">
      <c r="B22" s="25" t="s">
        <v>24</v>
      </c>
      <c r="C22" s="26">
        <v>43313</v>
      </c>
      <c r="D22" s="27">
        <f>149609-223</f>
        <v>149386</v>
      </c>
      <c r="E22" s="28">
        <v>153486.62</v>
      </c>
      <c r="F22" s="22">
        <f t="shared" si="0"/>
        <v>-4100.6199999999953</v>
      </c>
      <c r="G22" s="23">
        <f t="shared" si="1"/>
        <v>-91017.36000000003</v>
      </c>
    </row>
    <row r="23" spans="2:7" x14ac:dyDescent="0.2">
      <c r="B23" s="5"/>
      <c r="C23" s="29" t="s">
        <v>25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26</v>
      </c>
      <c r="E25" s="4" t="s">
        <v>27</v>
      </c>
      <c r="F25" s="3"/>
      <c r="G25" s="21"/>
    </row>
    <row r="26" spans="2:7" x14ac:dyDescent="0.2">
      <c r="B26" s="4">
        <v>8</v>
      </c>
      <c r="C26" s="3"/>
      <c r="D26" s="4" t="s">
        <v>28</v>
      </c>
      <c r="E26" s="4" t="s">
        <v>29</v>
      </c>
      <c r="F26" s="3"/>
      <c r="G26" s="32" t="s">
        <v>26</v>
      </c>
    </row>
    <row r="27" spans="2:7" x14ac:dyDescent="0.2">
      <c r="B27" s="4"/>
      <c r="C27" s="3"/>
      <c r="D27" s="4" t="s">
        <v>30</v>
      </c>
      <c r="E27" s="4" t="s">
        <v>31</v>
      </c>
      <c r="F27" s="3"/>
      <c r="G27" s="32" t="s">
        <v>32</v>
      </c>
    </row>
    <row r="28" spans="2:7" x14ac:dyDescent="0.2">
      <c r="B28" s="4"/>
      <c r="C28" s="3"/>
      <c r="D28" s="4" t="s">
        <v>33</v>
      </c>
      <c r="E28" s="4" t="s">
        <v>34</v>
      </c>
      <c r="F28" s="3"/>
      <c r="G28" s="32" t="s">
        <v>35</v>
      </c>
    </row>
    <row r="29" spans="2:7" x14ac:dyDescent="0.2">
      <c r="B29" s="5"/>
      <c r="C29" s="33"/>
      <c r="D29" s="5" t="s">
        <v>36</v>
      </c>
      <c r="E29" s="5" t="s">
        <v>37</v>
      </c>
      <c r="F29" s="33"/>
      <c r="G29" s="34" t="s">
        <v>38</v>
      </c>
    </row>
    <row r="30" spans="2:7" x14ac:dyDescent="0.2">
      <c r="B30" s="35" t="s">
        <v>39</v>
      </c>
      <c r="C30" s="3" t="s">
        <v>40</v>
      </c>
      <c r="D30" s="21">
        <f>-G12</f>
        <v>921</v>
      </c>
      <c r="E30" s="21">
        <f>D61</f>
        <v>-921</v>
      </c>
      <c r="F30" s="3"/>
      <c r="G30" s="21">
        <f>D30+E30</f>
        <v>0</v>
      </c>
    </row>
    <row r="31" spans="2:7" x14ac:dyDescent="0.2">
      <c r="B31" s="35" t="s">
        <v>41</v>
      </c>
      <c r="C31" s="33" t="s">
        <v>42</v>
      </c>
      <c r="D31" s="23">
        <f>-G13</f>
        <v>5403</v>
      </c>
      <c r="E31" s="23">
        <f>E61</f>
        <v>0</v>
      </c>
      <c r="F31" s="33"/>
      <c r="G31" s="23">
        <f>D31+E31</f>
        <v>5403</v>
      </c>
    </row>
    <row r="32" spans="2:7" x14ac:dyDescent="0.2">
      <c r="B32" s="5" t="s">
        <v>43</v>
      </c>
      <c r="C32" s="36"/>
      <c r="D32" s="37"/>
      <c r="E32" s="37"/>
      <c r="F32" s="38" t="s">
        <v>44</v>
      </c>
      <c r="G32" s="23">
        <f>G30+G31</f>
        <v>5403</v>
      </c>
    </row>
    <row r="33" spans="2:7" x14ac:dyDescent="0.2">
      <c r="B33" s="39"/>
      <c r="G33" s="40"/>
    </row>
    <row r="34" spans="2:7" x14ac:dyDescent="0.2">
      <c r="B34" s="6">
        <v>9</v>
      </c>
      <c r="C34" s="41" t="s">
        <v>45</v>
      </c>
      <c r="D34" s="8"/>
      <c r="E34" s="8"/>
      <c r="F34" s="9"/>
      <c r="G34" s="42">
        <f>G20+G32</f>
        <v>-6543.1400000000285</v>
      </c>
    </row>
    <row r="35" spans="2:7" x14ac:dyDescent="0.2">
      <c r="B35" s="39"/>
      <c r="G35" s="40"/>
    </row>
    <row r="36" spans="2:7" x14ac:dyDescent="0.2">
      <c r="B36" s="6">
        <v>10</v>
      </c>
      <c r="C36" s="43" t="s">
        <v>46</v>
      </c>
      <c r="D36" s="8"/>
      <c r="E36" s="8"/>
      <c r="F36" s="9"/>
      <c r="G36" s="42">
        <f>G34/6</f>
        <v>-1090.5233333333381</v>
      </c>
    </row>
    <row r="38" spans="2:7" x14ac:dyDescent="0.2">
      <c r="B38" s="1"/>
      <c r="C38" s="44" t="s">
        <v>47</v>
      </c>
      <c r="D38" s="45"/>
      <c r="E38" s="45"/>
      <c r="F38" s="45"/>
      <c r="G38" s="46"/>
    </row>
    <row r="39" spans="2:7" x14ac:dyDescent="0.2">
      <c r="B39" s="1"/>
      <c r="C39" s="47"/>
      <c r="D39" s="47"/>
      <c r="E39" s="47"/>
      <c r="F39" s="47"/>
      <c r="G39" s="11"/>
    </row>
    <row r="40" spans="2:7" x14ac:dyDescent="0.2">
      <c r="B40" s="4">
        <v>11</v>
      </c>
      <c r="C40" s="48" t="s">
        <v>48</v>
      </c>
      <c r="D40" s="48"/>
      <c r="E40" s="48"/>
      <c r="F40" s="48"/>
      <c r="G40" s="49">
        <f>G14</f>
        <v>-6324</v>
      </c>
    </row>
    <row r="41" spans="2:7" x14ac:dyDescent="0.2">
      <c r="B41" s="4">
        <v>12</v>
      </c>
      <c r="C41" s="48" t="s">
        <v>49</v>
      </c>
      <c r="D41" s="48"/>
      <c r="E41" s="48"/>
      <c r="F41" s="48"/>
      <c r="G41" s="50">
        <f>G32</f>
        <v>5403</v>
      </c>
    </row>
    <row r="42" spans="2:7" x14ac:dyDescent="0.2">
      <c r="B42" s="4"/>
      <c r="C42" s="48"/>
      <c r="D42" s="48"/>
      <c r="E42" s="48"/>
      <c r="F42" s="48"/>
      <c r="G42" s="49"/>
    </row>
    <row r="43" spans="2:7" ht="15" thickBot="1" x14ac:dyDescent="0.25">
      <c r="B43" s="4">
        <v>13</v>
      </c>
      <c r="C43" s="48" t="s">
        <v>50</v>
      </c>
      <c r="D43" s="48"/>
      <c r="E43" s="48"/>
      <c r="F43" s="48"/>
      <c r="G43" s="51">
        <f>G40+G41</f>
        <v>-921</v>
      </c>
    </row>
    <row r="44" spans="2:7" ht="15" thickTop="1" x14ac:dyDescent="0.2">
      <c r="B44" s="4"/>
      <c r="C44" s="48"/>
      <c r="D44" s="48"/>
      <c r="E44" s="48"/>
      <c r="F44" s="48"/>
      <c r="G44" s="49"/>
    </row>
    <row r="45" spans="2:7" x14ac:dyDescent="0.2">
      <c r="B45" s="4">
        <v>14</v>
      </c>
      <c r="C45" s="48" t="s">
        <v>51</v>
      </c>
      <c r="D45" s="48"/>
      <c r="E45" s="48"/>
      <c r="F45" s="48"/>
      <c r="G45" s="49">
        <f>G34</f>
        <v>-6543.1400000000285</v>
      </c>
    </row>
    <row r="46" spans="2:7" x14ac:dyDescent="0.2">
      <c r="B46" s="4"/>
      <c r="C46" s="48"/>
      <c r="D46" s="48"/>
      <c r="E46" s="48"/>
      <c r="F46" s="48"/>
      <c r="G46" s="49"/>
    </row>
    <row r="47" spans="2:7" x14ac:dyDescent="0.2">
      <c r="B47" s="4">
        <v>15</v>
      </c>
      <c r="C47" s="48" t="s">
        <v>52</v>
      </c>
      <c r="D47" s="48"/>
      <c r="E47" s="48"/>
      <c r="F47" s="48"/>
      <c r="G47" s="50">
        <f>SUM(F15:F20)</f>
        <v>-5622.1400000000285</v>
      </c>
    </row>
    <row r="48" spans="2:7" x14ac:dyDescent="0.2">
      <c r="B48" s="4"/>
      <c r="C48" s="48"/>
      <c r="D48" s="48"/>
      <c r="E48" s="48"/>
      <c r="F48" s="48"/>
      <c r="G48" s="49"/>
    </row>
    <row r="49" spans="2:7" ht="15" thickBot="1" x14ac:dyDescent="0.25">
      <c r="B49" s="4">
        <v>16</v>
      </c>
      <c r="C49" s="48" t="s">
        <v>53</v>
      </c>
      <c r="D49" s="48"/>
      <c r="E49" s="48"/>
      <c r="F49" s="48"/>
      <c r="G49" s="51">
        <f>G45-G47</f>
        <v>-921</v>
      </c>
    </row>
    <row r="50" spans="2:7" ht="15" thickTop="1" x14ac:dyDescent="0.2">
      <c r="B50" s="33"/>
      <c r="C50" s="52"/>
      <c r="D50" s="52"/>
      <c r="E50" s="52"/>
      <c r="F50" s="52"/>
      <c r="G50" s="53"/>
    </row>
    <row r="52" spans="2:7" x14ac:dyDescent="0.2">
      <c r="B52" t="s">
        <v>54</v>
      </c>
    </row>
    <row r="53" spans="2:7" x14ac:dyDescent="0.2">
      <c r="B53" s="39"/>
      <c r="C53" s="1"/>
      <c r="D53" s="2" t="s">
        <v>55</v>
      </c>
      <c r="E53" s="2" t="s">
        <v>55</v>
      </c>
      <c r="F53" s="35"/>
    </row>
    <row r="54" spans="2:7" x14ac:dyDescent="0.2">
      <c r="B54" s="39"/>
      <c r="C54" s="5" t="s">
        <v>11</v>
      </c>
      <c r="D54" s="5" t="s">
        <v>56</v>
      </c>
      <c r="E54" s="5" t="s">
        <v>57</v>
      </c>
      <c r="F54" s="35"/>
    </row>
    <row r="55" spans="2:7" x14ac:dyDescent="0.2">
      <c r="C55" s="13">
        <v>43101</v>
      </c>
      <c r="D55" s="14">
        <v>-154</v>
      </c>
      <c r="E55" s="12">
        <v>0</v>
      </c>
      <c r="F55" s="20"/>
    </row>
    <row r="56" spans="2:7" x14ac:dyDescent="0.2">
      <c r="C56" s="17">
        <v>43132</v>
      </c>
      <c r="D56" s="18">
        <v>-154</v>
      </c>
      <c r="E56" s="21">
        <v>0</v>
      </c>
      <c r="F56" s="20"/>
    </row>
    <row r="57" spans="2:7" x14ac:dyDescent="0.2">
      <c r="C57" s="17">
        <v>43160</v>
      </c>
      <c r="D57" s="18">
        <v>-154</v>
      </c>
      <c r="E57" s="21">
        <v>0</v>
      </c>
      <c r="F57" s="20"/>
    </row>
    <row r="58" spans="2:7" x14ac:dyDescent="0.2">
      <c r="C58" s="17">
        <v>43191</v>
      </c>
      <c r="D58" s="18">
        <v>-154</v>
      </c>
      <c r="E58" s="21">
        <v>0</v>
      </c>
      <c r="F58" s="20"/>
    </row>
    <row r="59" spans="2:7" x14ac:dyDescent="0.2">
      <c r="C59" s="17">
        <v>43221</v>
      </c>
      <c r="D59" s="18">
        <v>-154</v>
      </c>
      <c r="E59" s="21">
        <v>0</v>
      </c>
      <c r="F59" s="20"/>
    </row>
    <row r="60" spans="2:7" x14ac:dyDescent="0.2">
      <c r="C60" s="17">
        <v>43252</v>
      </c>
      <c r="D60" s="27">
        <f>-921-SUM(D55:D59)</f>
        <v>-151</v>
      </c>
      <c r="E60" s="23">
        <v>0</v>
      </c>
      <c r="F60" s="20"/>
    </row>
    <row r="61" spans="2:7" x14ac:dyDescent="0.2">
      <c r="C61" s="54" t="s">
        <v>58</v>
      </c>
      <c r="D61" s="42">
        <f>SUM(D55:D60)</f>
        <v>-921</v>
      </c>
      <c r="E61" s="42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>
      <selection activeCell="A5" sqref="A5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80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-6420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62335</v>
      </c>
    </row>
    <row r="14" spans="2:7" x14ac:dyDescent="0.2">
      <c r="B14" s="5" t="s">
        <v>21</v>
      </c>
      <c r="C14" s="8" t="s">
        <v>22</v>
      </c>
      <c r="D14" s="8"/>
      <c r="E14" s="8"/>
      <c r="F14" s="11"/>
      <c r="G14" s="12">
        <f>G12+G13</f>
        <v>55915</v>
      </c>
    </row>
    <row r="15" spans="2:7" x14ac:dyDescent="0.2">
      <c r="B15" s="4">
        <v>2</v>
      </c>
      <c r="C15" s="13">
        <v>43101</v>
      </c>
      <c r="D15" s="14">
        <f>1208842-387</f>
        <v>1208455</v>
      </c>
      <c r="E15" s="15">
        <v>1150922.95</v>
      </c>
      <c r="F15" s="16">
        <f t="shared" ref="F15:F22" si="0">D15-E15</f>
        <v>57532.050000000047</v>
      </c>
      <c r="G15" s="12">
        <f t="shared" ref="G15:G22" si="1">G14+F15</f>
        <v>113447.05000000005</v>
      </c>
    </row>
    <row r="16" spans="2:7" x14ac:dyDescent="0.2">
      <c r="B16" s="4">
        <v>3</v>
      </c>
      <c r="C16" s="17">
        <v>43132</v>
      </c>
      <c r="D16" s="18">
        <f>561184-255</f>
        <v>560929</v>
      </c>
      <c r="E16" s="19">
        <v>531970.03</v>
      </c>
      <c r="F16" s="20">
        <f t="shared" si="0"/>
        <v>28958.969999999972</v>
      </c>
      <c r="G16" s="21">
        <f t="shared" si="1"/>
        <v>142406.02000000002</v>
      </c>
    </row>
    <row r="17" spans="2:7" x14ac:dyDescent="0.2">
      <c r="B17" s="4">
        <v>4</v>
      </c>
      <c r="C17" s="17">
        <v>43160</v>
      </c>
      <c r="D17" s="18">
        <f>359689-172</f>
        <v>359517</v>
      </c>
      <c r="E17" s="19">
        <v>382161.66</v>
      </c>
      <c r="F17" s="20">
        <f t="shared" si="0"/>
        <v>-22644.659999999974</v>
      </c>
      <c r="G17" s="21">
        <f t="shared" si="1"/>
        <v>119761.36000000004</v>
      </c>
    </row>
    <row r="18" spans="2:7" x14ac:dyDescent="0.2">
      <c r="B18" s="4">
        <v>5</v>
      </c>
      <c r="C18" s="17">
        <v>43191</v>
      </c>
      <c r="D18" s="18">
        <f>549918-319</f>
        <v>549599</v>
      </c>
      <c r="E18" s="19">
        <v>576977.22</v>
      </c>
      <c r="F18" s="20">
        <f t="shared" si="0"/>
        <v>-27378.219999999972</v>
      </c>
      <c r="G18" s="21">
        <f t="shared" si="1"/>
        <v>92383.140000000072</v>
      </c>
    </row>
    <row r="19" spans="2:7" x14ac:dyDescent="0.2">
      <c r="B19" s="4">
        <v>6</v>
      </c>
      <c r="C19" s="17">
        <v>43221</v>
      </c>
      <c r="D19" s="18">
        <f>572265-341</f>
        <v>571924</v>
      </c>
      <c r="E19" s="19">
        <v>593497.26</v>
      </c>
      <c r="F19" s="20">
        <f t="shared" si="0"/>
        <v>-21573.260000000009</v>
      </c>
      <c r="G19" s="21">
        <f t="shared" si="1"/>
        <v>70809.880000000063</v>
      </c>
    </row>
    <row r="20" spans="2:7" x14ac:dyDescent="0.2">
      <c r="B20" s="4">
        <v>7</v>
      </c>
      <c r="C20" s="17">
        <v>43252</v>
      </c>
      <c r="D20" s="18">
        <f>697471-372</f>
        <v>697099</v>
      </c>
      <c r="E20" s="19">
        <v>699464.77</v>
      </c>
      <c r="F20" s="22">
        <f t="shared" si="0"/>
        <v>-2365.7700000000186</v>
      </c>
      <c r="G20" s="23">
        <f t="shared" si="1"/>
        <v>68444.110000000044</v>
      </c>
    </row>
    <row r="21" spans="2:7" x14ac:dyDescent="0.2">
      <c r="B21" s="24" t="s">
        <v>23</v>
      </c>
      <c r="C21" s="13">
        <v>43282</v>
      </c>
      <c r="D21" s="14">
        <f>679094-365</f>
        <v>678729</v>
      </c>
      <c r="E21" s="15">
        <v>736241.16</v>
      </c>
      <c r="F21" s="16">
        <f t="shared" si="0"/>
        <v>-57512.160000000033</v>
      </c>
      <c r="G21" s="12">
        <f t="shared" si="1"/>
        <v>10931.950000000012</v>
      </c>
    </row>
    <row r="22" spans="2:7" x14ac:dyDescent="0.2">
      <c r="B22" s="25" t="s">
        <v>24</v>
      </c>
      <c r="C22" s="26">
        <v>43313</v>
      </c>
      <c r="D22" s="27">
        <f>591122-331</f>
        <v>590791</v>
      </c>
      <c r="E22" s="28">
        <v>651832.66</v>
      </c>
      <c r="F22" s="22">
        <f t="shared" si="0"/>
        <v>-61041.660000000033</v>
      </c>
      <c r="G22" s="23">
        <f t="shared" si="1"/>
        <v>-50109.710000000021</v>
      </c>
    </row>
    <row r="23" spans="2:7" x14ac:dyDescent="0.2">
      <c r="B23" s="5"/>
      <c r="C23" s="29" t="s">
        <v>25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26</v>
      </c>
      <c r="E25" s="4" t="s">
        <v>27</v>
      </c>
      <c r="F25" s="3"/>
      <c r="G25" s="21"/>
    </row>
    <row r="26" spans="2:7" x14ac:dyDescent="0.2">
      <c r="B26" s="4">
        <v>8</v>
      </c>
      <c r="C26" s="3"/>
      <c r="D26" s="4" t="s">
        <v>28</v>
      </c>
      <c r="E26" s="4" t="s">
        <v>29</v>
      </c>
      <c r="F26" s="3"/>
      <c r="G26" s="32" t="s">
        <v>26</v>
      </c>
    </row>
    <row r="27" spans="2:7" x14ac:dyDescent="0.2">
      <c r="B27" s="4"/>
      <c r="C27" s="3"/>
      <c r="D27" s="4" t="s">
        <v>30</v>
      </c>
      <c r="E27" s="4" t="s">
        <v>31</v>
      </c>
      <c r="F27" s="3"/>
      <c r="G27" s="32" t="s">
        <v>32</v>
      </c>
    </row>
    <row r="28" spans="2:7" x14ac:dyDescent="0.2">
      <c r="B28" s="4"/>
      <c r="C28" s="3"/>
      <c r="D28" s="4" t="s">
        <v>33</v>
      </c>
      <c r="E28" s="4" t="s">
        <v>34</v>
      </c>
      <c r="F28" s="3"/>
      <c r="G28" s="32" t="s">
        <v>35</v>
      </c>
    </row>
    <row r="29" spans="2:7" x14ac:dyDescent="0.2">
      <c r="B29" s="5"/>
      <c r="C29" s="3"/>
      <c r="D29" s="4" t="s">
        <v>36</v>
      </c>
      <c r="E29" s="4" t="s">
        <v>37</v>
      </c>
      <c r="F29" s="3"/>
      <c r="G29" s="32" t="s">
        <v>38</v>
      </c>
    </row>
    <row r="30" spans="2:7" x14ac:dyDescent="0.2">
      <c r="B30" s="24" t="s">
        <v>39</v>
      </c>
      <c r="C30" s="1" t="s">
        <v>40</v>
      </c>
      <c r="D30" s="12">
        <f>-G12</f>
        <v>6420</v>
      </c>
      <c r="E30" s="12">
        <f>D61</f>
        <v>-6420</v>
      </c>
      <c r="F30" s="1"/>
      <c r="G30" s="12">
        <f>D30+E30</f>
        <v>0</v>
      </c>
    </row>
    <row r="31" spans="2:7" x14ac:dyDescent="0.2">
      <c r="B31" s="35" t="s">
        <v>41</v>
      </c>
      <c r="C31" s="3" t="s">
        <v>42</v>
      </c>
      <c r="D31" s="21">
        <f>-G13</f>
        <v>-62335</v>
      </c>
      <c r="E31" s="21">
        <f>E61</f>
        <v>0</v>
      </c>
      <c r="F31" s="3"/>
      <c r="G31" s="21">
        <f>D31+E31</f>
        <v>-62335</v>
      </c>
    </row>
    <row r="32" spans="2:7" x14ac:dyDescent="0.2">
      <c r="B32" s="5" t="s">
        <v>43</v>
      </c>
      <c r="C32" s="82"/>
      <c r="D32" s="83"/>
      <c r="E32" s="83"/>
      <c r="F32" s="84" t="s">
        <v>44</v>
      </c>
      <c r="G32" s="42">
        <f>G30+G31</f>
        <v>-62335</v>
      </c>
    </row>
    <row r="33" spans="2:7" x14ac:dyDescent="0.2">
      <c r="B33" s="39"/>
      <c r="G33" s="40"/>
    </row>
    <row r="34" spans="2:7" x14ac:dyDescent="0.2">
      <c r="B34" s="6">
        <v>9</v>
      </c>
      <c r="C34" s="43" t="s">
        <v>45</v>
      </c>
      <c r="D34" s="8"/>
      <c r="E34" s="8"/>
      <c r="F34" s="9"/>
      <c r="G34" s="42">
        <f>G20+G32</f>
        <v>6109.1100000000442</v>
      </c>
    </row>
    <row r="35" spans="2:7" x14ac:dyDescent="0.2">
      <c r="B35" s="39"/>
      <c r="G35" s="40"/>
    </row>
    <row r="36" spans="2:7" x14ac:dyDescent="0.2">
      <c r="B36" s="6">
        <v>10</v>
      </c>
      <c r="C36" s="43" t="s">
        <v>46</v>
      </c>
      <c r="D36" s="8"/>
      <c r="E36" s="8"/>
      <c r="F36" s="9"/>
      <c r="G36" s="42">
        <f>G34/6</f>
        <v>1018.1850000000073</v>
      </c>
    </row>
    <row r="38" spans="2:7" x14ac:dyDescent="0.2">
      <c r="B38" s="1"/>
      <c r="C38" s="44" t="s">
        <v>47</v>
      </c>
      <c r="D38" s="45"/>
      <c r="E38" s="45"/>
      <c r="F38" s="45"/>
      <c r="G38" s="46"/>
    </row>
    <row r="39" spans="2:7" x14ac:dyDescent="0.2">
      <c r="B39" s="1"/>
      <c r="C39" s="47"/>
      <c r="D39" s="47"/>
      <c r="E39" s="47"/>
      <c r="F39" s="47"/>
      <c r="G39" s="11"/>
    </row>
    <row r="40" spans="2:7" x14ac:dyDescent="0.2">
      <c r="B40" s="4">
        <v>11</v>
      </c>
      <c r="C40" s="48" t="s">
        <v>48</v>
      </c>
      <c r="D40" s="48"/>
      <c r="E40" s="48"/>
      <c r="F40" s="48"/>
      <c r="G40" s="49">
        <f>G14</f>
        <v>55915</v>
      </c>
    </row>
    <row r="41" spans="2:7" x14ac:dyDescent="0.2">
      <c r="B41" s="4">
        <v>12</v>
      </c>
      <c r="C41" s="48" t="s">
        <v>49</v>
      </c>
      <c r="D41" s="48"/>
      <c r="E41" s="48"/>
      <c r="F41" s="48"/>
      <c r="G41" s="50">
        <f>G32</f>
        <v>-62335</v>
      </c>
    </row>
    <row r="42" spans="2:7" x14ac:dyDescent="0.2">
      <c r="B42" s="4"/>
      <c r="C42" s="48"/>
      <c r="D42" s="48"/>
      <c r="E42" s="48"/>
      <c r="F42" s="48"/>
      <c r="G42" s="49"/>
    </row>
    <row r="43" spans="2:7" ht="15" thickBot="1" x14ac:dyDescent="0.25">
      <c r="B43" s="4">
        <v>13</v>
      </c>
      <c r="C43" s="48" t="s">
        <v>50</v>
      </c>
      <c r="D43" s="48"/>
      <c r="E43" s="48"/>
      <c r="F43" s="48"/>
      <c r="G43" s="51">
        <f>G40+G41</f>
        <v>-6420</v>
      </c>
    </row>
    <row r="44" spans="2:7" ht="15" thickTop="1" x14ac:dyDescent="0.2">
      <c r="B44" s="4"/>
      <c r="C44" s="48"/>
      <c r="D44" s="48"/>
      <c r="E44" s="48"/>
      <c r="F44" s="48"/>
      <c r="G44" s="49"/>
    </row>
    <row r="45" spans="2:7" x14ac:dyDescent="0.2">
      <c r="B45" s="4">
        <v>14</v>
      </c>
      <c r="C45" s="48" t="s">
        <v>51</v>
      </c>
      <c r="D45" s="48"/>
      <c r="E45" s="48"/>
      <c r="F45" s="48"/>
      <c r="G45" s="49">
        <f>G34</f>
        <v>6109.1100000000442</v>
      </c>
    </row>
    <row r="46" spans="2:7" x14ac:dyDescent="0.2">
      <c r="B46" s="4"/>
      <c r="C46" s="48"/>
      <c r="D46" s="48"/>
      <c r="E46" s="48"/>
      <c r="F46" s="48"/>
      <c r="G46" s="49"/>
    </row>
    <row r="47" spans="2:7" x14ac:dyDescent="0.2">
      <c r="B47" s="4">
        <v>15</v>
      </c>
      <c r="C47" s="48" t="s">
        <v>52</v>
      </c>
      <c r="D47" s="48"/>
      <c r="E47" s="48"/>
      <c r="F47" s="48"/>
      <c r="G47" s="50">
        <f>SUM(F15:F20)</f>
        <v>12529.110000000044</v>
      </c>
    </row>
    <row r="48" spans="2:7" x14ac:dyDescent="0.2">
      <c r="B48" s="4"/>
      <c r="C48" s="48"/>
      <c r="D48" s="48"/>
      <c r="E48" s="48"/>
      <c r="F48" s="48"/>
      <c r="G48" s="49"/>
    </row>
    <row r="49" spans="2:7" ht="15" thickBot="1" x14ac:dyDescent="0.25">
      <c r="B49" s="4">
        <v>16</v>
      </c>
      <c r="C49" s="48" t="s">
        <v>53</v>
      </c>
      <c r="D49" s="48"/>
      <c r="E49" s="48"/>
      <c r="F49" s="48"/>
      <c r="G49" s="51">
        <f>G45-G47</f>
        <v>-6420</v>
      </c>
    </row>
    <row r="50" spans="2:7" ht="15" thickTop="1" x14ac:dyDescent="0.2">
      <c r="B50" s="33"/>
      <c r="C50" s="52"/>
      <c r="D50" s="52"/>
      <c r="E50" s="52"/>
      <c r="F50" s="52"/>
      <c r="G50" s="53"/>
    </row>
    <row r="52" spans="2:7" x14ac:dyDescent="0.2">
      <c r="B52" t="s">
        <v>54</v>
      </c>
    </row>
    <row r="53" spans="2:7" x14ac:dyDescent="0.2">
      <c r="B53" s="39"/>
      <c r="C53" s="1"/>
      <c r="D53" s="2" t="s">
        <v>55</v>
      </c>
      <c r="E53" s="2" t="s">
        <v>55</v>
      </c>
      <c r="F53" s="35"/>
    </row>
    <row r="54" spans="2:7" x14ac:dyDescent="0.2">
      <c r="B54" s="39"/>
      <c r="C54" s="5" t="s">
        <v>11</v>
      </c>
      <c r="D54" s="5" t="s">
        <v>56</v>
      </c>
      <c r="E54" s="5" t="s">
        <v>57</v>
      </c>
      <c r="F54" s="35"/>
    </row>
    <row r="55" spans="2:7" x14ac:dyDescent="0.2">
      <c r="C55" s="13">
        <v>43101</v>
      </c>
      <c r="D55" s="14">
        <v>-1070</v>
      </c>
      <c r="E55" s="14">
        <v>0</v>
      </c>
      <c r="F55" s="20"/>
    </row>
    <row r="56" spans="2:7" x14ac:dyDescent="0.2">
      <c r="C56" s="17">
        <v>43132</v>
      </c>
      <c r="D56" s="18">
        <v>-1070</v>
      </c>
      <c r="E56" s="18">
        <v>0</v>
      </c>
      <c r="F56" s="20"/>
    </row>
    <row r="57" spans="2:7" x14ac:dyDescent="0.2">
      <c r="C57" s="17">
        <v>43160</v>
      </c>
      <c r="D57" s="18">
        <v>-1070</v>
      </c>
      <c r="E57" s="18">
        <v>0</v>
      </c>
      <c r="F57" s="20"/>
    </row>
    <row r="58" spans="2:7" x14ac:dyDescent="0.2">
      <c r="C58" s="17">
        <v>43191</v>
      </c>
      <c r="D58" s="18">
        <v>-1070</v>
      </c>
      <c r="E58" s="18">
        <v>0</v>
      </c>
      <c r="F58" s="20"/>
    </row>
    <row r="59" spans="2:7" x14ac:dyDescent="0.2">
      <c r="C59" s="17">
        <v>43221</v>
      </c>
      <c r="D59" s="18">
        <v>-1070</v>
      </c>
      <c r="E59" s="18">
        <v>0</v>
      </c>
      <c r="F59" s="20"/>
    </row>
    <row r="60" spans="2:7" x14ac:dyDescent="0.2">
      <c r="C60" s="26">
        <v>43252</v>
      </c>
      <c r="D60" s="27">
        <v>-1070</v>
      </c>
      <c r="E60" s="27">
        <v>0</v>
      </c>
      <c r="F60" s="20"/>
    </row>
    <row r="61" spans="2:7" x14ac:dyDescent="0.2">
      <c r="C61" s="54" t="s">
        <v>58</v>
      </c>
      <c r="D61" s="42">
        <f>SUM(D55:D60)</f>
        <v>-6420</v>
      </c>
      <c r="E61" s="42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>
      <selection activeCell="A6" sqref="A6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81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-24540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-86761</v>
      </c>
    </row>
    <row r="14" spans="2:7" x14ac:dyDescent="0.2">
      <c r="B14" s="5" t="s">
        <v>21</v>
      </c>
      <c r="C14" s="8" t="s">
        <v>22</v>
      </c>
      <c r="D14" s="8"/>
      <c r="E14" s="8"/>
      <c r="F14" s="11"/>
      <c r="G14" s="12">
        <f>G12+G13</f>
        <v>-111301</v>
      </c>
    </row>
    <row r="15" spans="2:7" x14ac:dyDescent="0.2">
      <c r="B15" s="4">
        <v>2</v>
      </c>
      <c r="C15" s="13">
        <v>43101</v>
      </c>
      <c r="D15" s="14">
        <f>324999-208</f>
        <v>324791</v>
      </c>
      <c r="E15" s="15">
        <v>282914.73</v>
      </c>
      <c r="F15" s="16">
        <f t="shared" ref="F15:F22" si="0">D15-E15</f>
        <v>41876.270000000019</v>
      </c>
      <c r="G15" s="12">
        <f t="shared" ref="G15:G22" si="1">G14+F15</f>
        <v>-69424.729999999981</v>
      </c>
    </row>
    <row r="16" spans="2:7" x14ac:dyDescent="0.2">
      <c r="B16" s="4">
        <v>3</v>
      </c>
      <c r="C16" s="17">
        <v>43132</v>
      </c>
      <c r="D16" s="18">
        <f>153280-137</f>
        <v>153143</v>
      </c>
      <c r="E16" s="19">
        <v>128042.8</v>
      </c>
      <c r="F16" s="20">
        <f t="shared" si="0"/>
        <v>25100.199999999997</v>
      </c>
      <c r="G16" s="21">
        <f t="shared" si="1"/>
        <v>-44324.529999999984</v>
      </c>
    </row>
    <row r="17" spans="2:7" x14ac:dyDescent="0.2">
      <c r="B17" s="4">
        <v>4</v>
      </c>
      <c r="C17" s="17">
        <v>43160</v>
      </c>
      <c r="D17" s="18">
        <f>99537-92</f>
        <v>99445</v>
      </c>
      <c r="E17" s="19">
        <v>102570.02</v>
      </c>
      <c r="F17" s="20">
        <f t="shared" si="0"/>
        <v>-3125.0200000000041</v>
      </c>
      <c r="G17" s="21">
        <f t="shared" si="1"/>
        <v>-47449.549999999988</v>
      </c>
    </row>
    <row r="18" spans="2:7" x14ac:dyDescent="0.2">
      <c r="B18" s="4">
        <v>5</v>
      </c>
      <c r="C18" s="17">
        <v>43191</v>
      </c>
      <c r="D18" s="18">
        <f>155619-172</f>
        <v>155447</v>
      </c>
      <c r="E18" s="19">
        <v>142108.88</v>
      </c>
      <c r="F18" s="20">
        <f t="shared" si="0"/>
        <v>13338.119999999995</v>
      </c>
      <c r="G18" s="21">
        <f t="shared" si="1"/>
        <v>-34111.429999999993</v>
      </c>
    </row>
    <row r="19" spans="2:7" x14ac:dyDescent="0.2">
      <c r="B19" s="4">
        <v>6</v>
      </c>
      <c r="C19" s="17">
        <v>43221</v>
      </c>
      <c r="D19" s="18">
        <f>163255-184</f>
        <v>163071</v>
      </c>
      <c r="E19" s="19">
        <v>167551.91</v>
      </c>
      <c r="F19" s="20">
        <f t="shared" si="0"/>
        <v>-4480.9100000000035</v>
      </c>
      <c r="G19" s="21">
        <f t="shared" si="1"/>
        <v>-38592.339999999997</v>
      </c>
    </row>
    <row r="20" spans="2:7" x14ac:dyDescent="0.2">
      <c r="B20" s="4">
        <v>7</v>
      </c>
      <c r="C20" s="17">
        <v>43252</v>
      </c>
      <c r="D20" s="18">
        <f>196291-201</f>
        <v>196090</v>
      </c>
      <c r="E20" s="19">
        <v>202649.12</v>
      </c>
      <c r="F20" s="22">
        <f t="shared" si="0"/>
        <v>-6559.1199999999953</v>
      </c>
      <c r="G20" s="23">
        <f t="shared" si="1"/>
        <v>-45151.459999999992</v>
      </c>
    </row>
    <row r="21" spans="2:7" x14ac:dyDescent="0.2">
      <c r="B21" s="24" t="s">
        <v>23</v>
      </c>
      <c r="C21" s="13">
        <v>43282</v>
      </c>
      <c r="D21" s="14">
        <f>194746-198</f>
        <v>194548</v>
      </c>
      <c r="E21" s="15">
        <v>202303</v>
      </c>
      <c r="F21" s="16">
        <f t="shared" si="0"/>
        <v>-7755</v>
      </c>
      <c r="G21" s="12">
        <f t="shared" si="1"/>
        <v>-52906.459999999992</v>
      </c>
    </row>
    <row r="22" spans="2:7" x14ac:dyDescent="0.2">
      <c r="B22" s="25" t="s">
        <v>24</v>
      </c>
      <c r="C22" s="26">
        <v>43313</v>
      </c>
      <c r="D22" s="27">
        <f>169355-180</f>
        <v>169175</v>
      </c>
      <c r="E22" s="28">
        <v>156485.01</v>
      </c>
      <c r="F22" s="22">
        <f t="shared" si="0"/>
        <v>12689.989999999991</v>
      </c>
      <c r="G22" s="23">
        <f t="shared" si="1"/>
        <v>-40216.47</v>
      </c>
    </row>
    <row r="23" spans="2:7" x14ac:dyDescent="0.2">
      <c r="B23" s="5"/>
      <c r="C23" s="29" t="s">
        <v>25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26</v>
      </c>
      <c r="E25" s="4" t="s">
        <v>27</v>
      </c>
      <c r="F25" s="3"/>
      <c r="G25" s="21"/>
    </row>
    <row r="26" spans="2:7" x14ac:dyDescent="0.2">
      <c r="B26" s="4">
        <v>8</v>
      </c>
      <c r="C26" s="3"/>
      <c r="D26" s="4" t="s">
        <v>28</v>
      </c>
      <c r="E26" s="4" t="s">
        <v>29</v>
      </c>
      <c r="F26" s="3"/>
      <c r="G26" s="32" t="s">
        <v>26</v>
      </c>
    </row>
    <row r="27" spans="2:7" x14ac:dyDescent="0.2">
      <c r="B27" s="4"/>
      <c r="C27" s="3"/>
      <c r="D27" s="4" t="s">
        <v>30</v>
      </c>
      <c r="E27" s="4" t="s">
        <v>31</v>
      </c>
      <c r="F27" s="3"/>
      <c r="G27" s="32" t="s">
        <v>32</v>
      </c>
    </row>
    <row r="28" spans="2:7" x14ac:dyDescent="0.2">
      <c r="B28" s="4"/>
      <c r="C28" s="3"/>
      <c r="D28" s="4" t="s">
        <v>33</v>
      </c>
      <c r="E28" s="4" t="s">
        <v>34</v>
      </c>
      <c r="F28" s="3"/>
      <c r="G28" s="32" t="s">
        <v>35</v>
      </c>
    </row>
    <row r="29" spans="2:7" x14ac:dyDescent="0.2">
      <c r="B29" s="5"/>
      <c r="C29" s="3"/>
      <c r="D29" s="4" t="s">
        <v>36</v>
      </c>
      <c r="E29" s="4" t="s">
        <v>37</v>
      </c>
      <c r="F29" s="3"/>
      <c r="G29" s="32" t="s">
        <v>38</v>
      </c>
    </row>
    <row r="30" spans="2:7" x14ac:dyDescent="0.2">
      <c r="B30" s="24" t="s">
        <v>39</v>
      </c>
      <c r="C30" s="1" t="s">
        <v>40</v>
      </c>
      <c r="D30" s="12">
        <f>-G12</f>
        <v>24540</v>
      </c>
      <c r="E30" s="12">
        <f>D61</f>
        <v>-24540</v>
      </c>
      <c r="F30" s="1"/>
      <c r="G30" s="12">
        <f>D30+E30</f>
        <v>0</v>
      </c>
    </row>
    <row r="31" spans="2:7" x14ac:dyDescent="0.2">
      <c r="B31" s="35" t="s">
        <v>41</v>
      </c>
      <c r="C31" s="3" t="s">
        <v>42</v>
      </c>
      <c r="D31" s="21">
        <f>-G13</f>
        <v>86761</v>
      </c>
      <c r="E31" s="21">
        <f>E61</f>
        <v>0</v>
      </c>
      <c r="F31" s="3"/>
      <c r="G31" s="21">
        <f>D31+E31</f>
        <v>86761</v>
      </c>
    </row>
    <row r="32" spans="2:7" x14ac:dyDescent="0.2">
      <c r="B32" s="5" t="s">
        <v>43</v>
      </c>
      <c r="C32" s="82"/>
      <c r="D32" s="83"/>
      <c r="E32" s="83"/>
      <c r="F32" s="84" t="s">
        <v>44</v>
      </c>
      <c r="G32" s="42">
        <f>G30+G31</f>
        <v>86761</v>
      </c>
    </row>
    <row r="33" spans="2:7" x14ac:dyDescent="0.2">
      <c r="B33" s="39"/>
      <c r="G33" s="40"/>
    </row>
    <row r="34" spans="2:7" x14ac:dyDescent="0.2">
      <c r="B34" s="6">
        <v>9</v>
      </c>
      <c r="C34" s="43" t="s">
        <v>45</v>
      </c>
      <c r="D34" s="8"/>
      <c r="E34" s="8"/>
      <c r="F34" s="9"/>
      <c r="G34" s="42">
        <f>G20+G32</f>
        <v>41609.540000000008</v>
      </c>
    </row>
    <row r="35" spans="2:7" x14ac:dyDescent="0.2">
      <c r="B35" s="39"/>
      <c r="G35" s="40"/>
    </row>
    <row r="36" spans="2:7" x14ac:dyDescent="0.2">
      <c r="B36" s="6">
        <v>10</v>
      </c>
      <c r="C36" s="43" t="s">
        <v>46</v>
      </c>
      <c r="D36" s="8"/>
      <c r="E36" s="8"/>
      <c r="F36" s="9"/>
      <c r="G36" s="42">
        <f>G34/6</f>
        <v>6934.923333333335</v>
      </c>
    </row>
    <row r="38" spans="2:7" x14ac:dyDescent="0.2">
      <c r="B38" s="1"/>
      <c r="C38" s="44" t="s">
        <v>47</v>
      </c>
      <c r="D38" s="45"/>
      <c r="E38" s="45"/>
      <c r="F38" s="45"/>
      <c r="G38" s="46"/>
    </row>
    <row r="39" spans="2:7" x14ac:dyDescent="0.2">
      <c r="B39" s="1"/>
      <c r="C39" s="47"/>
      <c r="D39" s="47"/>
      <c r="E39" s="47"/>
      <c r="F39" s="47"/>
      <c r="G39" s="11"/>
    </row>
    <row r="40" spans="2:7" x14ac:dyDescent="0.2">
      <c r="B40" s="4">
        <v>11</v>
      </c>
      <c r="C40" s="48" t="s">
        <v>48</v>
      </c>
      <c r="D40" s="48"/>
      <c r="E40" s="48"/>
      <c r="F40" s="48"/>
      <c r="G40" s="49">
        <f>G14</f>
        <v>-111301</v>
      </c>
    </row>
    <row r="41" spans="2:7" x14ac:dyDescent="0.2">
      <c r="B41" s="4">
        <v>12</v>
      </c>
      <c r="C41" s="48" t="s">
        <v>49</v>
      </c>
      <c r="D41" s="48"/>
      <c r="E41" s="48"/>
      <c r="F41" s="48"/>
      <c r="G41" s="50">
        <f>G32</f>
        <v>86761</v>
      </c>
    </row>
    <row r="42" spans="2:7" x14ac:dyDescent="0.2">
      <c r="B42" s="4"/>
      <c r="C42" s="48"/>
      <c r="D42" s="48"/>
      <c r="E42" s="48"/>
      <c r="F42" s="48"/>
      <c r="G42" s="49"/>
    </row>
    <row r="43" spans="2:7" ht="15" thickBot="1" x14ac:dyDescent="0.25">
      <c r="B43" s="4">
        <v>13</v>
      </c>
      <c r="C43" s="48" t="s">
        <v>50</v>
      </c>
      <c r="D43" s="48"/>
      <c r="E43" s="48"/>
      <c r="F43" s="48"/>
      <c r="G43" s="51">
        <f>G40+G41</f>
        <v>-24540</v>
      </c>
    </row>
    <row r="44" spans="2:7" ht="15" thickTop="1" x14ac:dyDescent="0.2">
      <c r="B44" s="4"/>
      <c r="C44" s="48"/>
      <c r="D44" s="48"/>
      <c r="E44" s="48"/>
      <c r="F44" s="48"/>
      <c r="G44" s="49"/>
    </row>
    <row r="45" spans="2:7" x14ac:dyDescent="0.2">
      <c r="B45" s="4">
        <v>14</v>
      </c>
      <c r="C45" s="48" t="s">
        <v>51</v>
      </c>
      <c r="D45" s="48"/>
      <c r="E45" s="48"/>
      <c r="F45" s="48"/>
      <c r="G45" s="49">
        <f>G34</f>
        <v>41609.540000000008</v>
      </c>
    </row>
    <row r="46" spans="2:7" x14ac:dyDescent="0.2">
      <c r="B46" s="4"/>
      <c r="C46" s="48"/>
      <c r="D46" s="48"/>
      <c r="E46" s="48"/>
      <c r="F46" s="48"/>
      <c r="G46" s="49"/>
    </row>
    <row r="47" spans="2:7" x14ac:dyDescent="0.2">
      <c r="B47" s="4">
        <v>15</v>
      </c>
      <c r="C47" s="48" t="s">
        <v>52</v>
      </c>
      <c r="D47" s="48"/>
      <c r="E47" s="48"/>
      <c r="F47" s="48"/>
      <c r="G47" s="50">
        <f>SUM(F15:F20)</f>
        <v>66149.540000000008</v>
      </c>
    </row>
    <row r="48" spans="2:7" x14ac:dyDescent="0.2">
      <c r="B48" s="4"/>
      <c r="C48" s="48"/>
      <c r="D48" s="48"/>
      <c r="E48" s="48"/>
      <c r="F48" s="48"/>
      <c r="G48" s="49"/>
    </row>
    <row r="49" spans="2:7" ht="15" thickBot="1" x14ac:dyDescent="0.25">
      <c r="B49" s="4">
        <v>16</v>
      </c>
      <c r="C49" s="48" t="s">
        <v>53</v>
      </c>
      <c r="D49" s="48"/>
      <c r="E49" s="48"/>
      <c r="F49" s="48"/>
      <c r="G49" s="51">
        <f>G45-G47</f>
        <v>-24540</v>
      </c>
    </row>
    <row r="50" spans="2:7" ht="15" thickTop="1" x14ac:dyDescent="0.2">
      <c r="B50" s="33"/>
      <c r="C50" s="52"/>
      <c r="D50" s="52"/>
      <c r="E50" s="52"/>
      <c r="F50" s="52"/>
      <c r="G50" s="53"/>
    </row>
    <row r="52" spans="2:7" x14ac:dyDescent="0.2">
      <c r="B52" t="s">
        <v>54</v>
      </c>
    </row>
    <row r="53" spans="2:7" x14ac:dyDescent="0.2">
      <c r="B53" s="39"/>
      <c r="C53" s="1"/>
      <c r="D53" s="2" t="s">
        <v>55</v>
      </c>
      <c r="E53" s="2" t="s">
        <v>55</v>
      </c>
      <c r="F53" s="35"/>
    </row>
    <row r="54" spans="2:7" x14ac:dyDescent="0.2">
      <c r="B54" s="39"/>
      <c r="C54" s="5" t="s">
        <v>11</v>
      </c>
      <c r="D54" s="5" t="s">
        <v>56</v>
      </c>
      <c r="E54" s="5" t="s">
        <v>57</v>
      </c>
      <c r="F54" s="35"/>
    </row>
    <row r="55" spans="2:7" x14ac:dyDescent="0.2">
      <c r="C55" s="13">
        <v>43101</v>
      </c>
      <c r="D55" s="12">
        <v>-4090</v>
      </c>
      <c r="E55" s="14">
        <v>0</v>
      </c>
      <c r="F55" s="20"/>
    </row>
    <row r="56" spans="2:7" x14ac:dyDescent="0.2">
      <c r="C56" s="17">
        <v>43132</v>
      </c>
      <c r="D56" s="21">
        <v>-4090</v>
      </c>
      <c r="E56" s="18">
        <v>0</v>
      </c>
      <c r="F56" s="20"/>
    </row>
    <row r="57" spans="2:7" x14ac:dyDescent="0.2">
      <c r="C57" s="17">
        <v>43160</v>
      </c>
      <c r="D57" s="21">
        <v>-4090</v>
      </c>
      <c r="E57" s="18">
        <v>0</v>
      </c>
      <c r="F57" s="20"/>
    </row>
    <row r="58" spans="2:7" x14ac:dyDescent="0.2">
      <c r="C58" s="17">
        <v>43191</v>
      </c>
      <c r="D58" s="21">
        <v>-4090</v>
      </c>
      <c r="E58" s="18">
        <v>0</v>
      </c>
      <c r="F58" s="20"/>
    </row>
    <row r="59" spans="2:7" x14ac:dyDescent="0.2">
      <c r="C59" s="17">
        <v>43221</v>
      </c>
      <c r="D59" s="21">
        <v>-4090</v>
      </c>
      <c r="E59" s="18">
        <v>0</v>
      </c>
      <c r="F59" s="20"/>
    </row>
    <row r="60" spans="2:7" x14ac:dyDescent="0.2">
      <c r="C60" s="26">
        <v>43252</v>
      </c>
      <c r="D60" s="23">
        <v>-4090</v>
      </c>
      <c r="E60" s="27">
        <v>0</v>
      </c>
      <c r="F60" s="20"/>
    </row>
    <row r="61" spans="2:7" x14ac:dyDescent="0.2">
      <c r="C61" s="54" t="s">
        <v>58</v>
      </c>
      <c r="D61" s="42">
        <f>SUM(D55:D60)</f>
        <v>-24540</v>
      </c>
      <c r="E61" s="42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>
      <selection activeCell="A9" sqref="A9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82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3188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-69207</v>
      </c>
    </row>
    <row r="14" spans="2:7" x14ac:dyDescent="0.2">
      <c r="B14" s="5" t="s">
        <v>21</v>
      </c>
      <c r="C14" s="8" t="s">
        <v>22</v>
      </c>
      <c r="D14" s="8"/>
      <c r="E14" s="8"/>
      <c r="F14" s="11"/>
      <c r="G14" s="12">
        <f>G12+G13</f>
        <v>-66019</v>
      </c>
    </row>
    <row r="15" spans="2:7" x14ac:dyDescent="0.2">
      <c r="B15" s="4">
        <v>2</v>
      </c>
      <c r="C15" s="13">
        <v>43101</v>
      </c>
      <c r="D15" s="14">
        <f>911260-0</f>
        <v>911260</v>
      </c>
      <c r="E15" s="15">
        <v>907827.57</v>
      </c>
      <c r="F15" s="16">
        <f t="shared" ref="F15:F22" si="0">D15-E15</f>
        <v>3432.4300000000512</v>
      </c>
      <c r="G15" s="12">
        <f t="shared" ref="G15:G22" si="1">G14+F15</f>
        <v>-62586.569999999949</v>
      </c>
    </row>
    <row r="16" spans="2:7" x14ac:dyDescent="0.2">
      <c r="B16" s="4">
        <v>3</v>
      </c>
      <c r="C16" s="17">
        <v>43132</v>
      </c>
      <c r="D16" s="18">
        <f>474581-0</f>
        <v>474581</v>
      </c>
      <c r="E16" s="19">
        <v>445264.79</v>
      </c>
      <c r="F16" s="20">
        <f t="shared" si="0"/>
        <v>29316.210000000021</v>
      </c>
      <c r="G16" s="21">
        <f t="shared" si="1"/>
        <v>-33270.359999999928</v>
      </c>
    </row>
    <row r="17" spans="2:7" x14ac:dyDescent="0.2">
      <c r="B17" s="4">
        <v>4</v>
      </c>
      <c r="C17" s="17">
        <v>43160</v>
      </c>
      <c r="D17" s="18">
        <f>287314-0</f>
        <v>287314</v>
      </c>
      <c r="E17" s="19">
        <v>312475.89</v>
      </c>
      <c r="F17" s="20">
        <f t="shared" si="0"/>
        <v>-25161.890000000014</v>
      </c>
      <c r="G17" s="21">
        <f t="shared" si="1"/>
        <v>-58432.249999999942</v>
      </c>
    </row>
    <row r="18" spans="2:7" x14ac:dyDescent="0.2">
      <c r="B18" s="4">
        <v>5</v>
      </c>
      <c r="C18" s="17">
        <v>43191</v>
      </c>
      <c r="D18" s="18">
        <f>447269-0</f>
        <v>447269</v>
      </c>
      <c r="E18" s="19">
        <f>467957.71</f>
        <v>467957.71</v>
      </c>
      <c r="F18" s="20">
        <f t="shared" si="0"/>
        <v>-20688.710000000021</v>
      </c>
      <c r="G18" s="21">
        <f t="shared" si="1"/>
        <v>-79120.959999999963</v>
      </c>
    </row>
    <row r="19" spans="2:7" x14ac:dyDescent="0.2">
      <c r="B19" s="4">
        <v>6</v>
      </c>
      <c r="C19" s="17">
        <v>43221</v>
      </c>
      <c r="D19" s="18">
        <f>521640-0</f>
        <v>521640</v>
      </c>
      <c r="E19" s="19">
        <v>540763.79</v>
      </c>
      <c r="F19" s="20">
        <f t="shared" si="0"/>
        <v>-19123.790000000037</v>
      </c>
      <c r="G19" s="21">
        <f t="shared" si="1"/>
        <v>-98244.75</v>
      </c>
    </row>
    <row r="20" spans="2:7" x14ac:dyDescent="0.2">
      <c r="B20" s="4">
        <v>7</v>
      </c>
      <c r="C20" s="17">
        <v>43252</v>
      </c>
      <c r="D20" s="18">
        <f>624286-0</f>
        <v>624286</v>
      </c>
      <c r="E20" s="19">
        <v>651300.38</v>
      </c>
      <c r="F20" s="22">
        <f t="shared" si="0"/>
        <v>-27014.380000000005</v>
      </c>
      <c r="G20" s="23">
        <f t="shared" si="1"/>
        <v>-125259.13</v>
      </c>
    </row>
    <row r="21" spans="2:7" x14ac:dyDescent="0.2">
      <c r="B21" s="24" t="s">
        <v>23</v>
      </c>
      <c r="C21" s="13">
        <v>43282</v>
      </c>
      <c r="D21" s="14">
        <f>592489-0</f>
        <v>592489</v>
      </c>
      <c r="E21" s="15">
        <v>644308.19999999995</v>
      </c>
      <c r="F21" s="16">
        <f t="shared" si="0"/>
        <v>-51819.199999999953</v>
      </c>
      <c r="G21" s="12">
        <f t="shared" si="1"/>
        <v>-177078.32999999996</v>
      </c>
    </row>
    <row r="22" spans="2:7" x14ac:dyDescent="0.2">
      <c r="B22" s="25" t="s">
        <v>24</v>
      </c>
      <c r="C22" s="26">
        <v>43313</v>
      </c>
      <c r="D22" s="27">
        <f>524709-0</f>
        <v>524709</v>
      </c>
      <c r="E22" s="28">
        <v>513554.78</v>
      </c>
      <c r="F22" s="22">
        <f t="shared" si="0"/>
        <v>11154.219999999972</v>
      </c>
      <c r="G22" s="23">
        <f t="shared" si="1"/>
        <v>-165924.10999999999</v>
      </c>
    </row>
    <row r="23" spans="2:7" x14ac:dyDescent="0.2">
      <c r="B23" s="5"/>
      <c r="C23" s="29" t="s">
        <v>25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26</v>
      </c>
      <c r="E25" s="4" t="s">
        <v>27</v>
      </c>
      <c r="F25" s="3"/>
      <c r="G25" s="21"/>
    </row>
    <row r="26" spans="2:7" x14ac:dyDescent="0.2">
      <c r="B26" s="4">
        <v>8</v>
      </c>
      <c r="C26" s="3"/>
      <c r="D26" s="4" t="s">
        <v>28</v>
      </c>
      <c r="E26" s="4" t="s">
        <v>29</v>
      </c>
      <c r="F26" s="3"/>
      <c r="G26" s="32" t="s">
        <v>26</v>
      </c>
    </row>
    <row r="27" spans="2:7" x14ac:dyDescent="0.2">
      <c r="B27" s="4"/>
      <c r="C27" s="3"/>
      <c r="D27" s="4" t="s">
        <v>30</v>
      </c>
      <c r="E27" s="4" t="s">
        <v>31</v>
      </c>
      <c r="F27" s="3"/>
      <c r="G27" s="32" t="s">
        <v>32</v>
      </c>
    </row>
    <row r="28" spans="2:7" x14ac:dyDescent="0.2">
      <c r="B28" s="4"/>
      <c r="C28" s="3"/>
      <c r="D28" s="4" t="s">
        <v>33</v>
      </c>
      <c r="E28" s="4" t="s">
        <v>34</v>
      </c>
      <c r="F28" s="3"/>
      <c r="G28" s="32" t="s">
        <v>35</v>
      </c>
    </row>
    <row r="29" spans="2:7" x14ac:dyDescent="0.2">
      <c r="B29" s="5"/>
      <c r="C29" s="3"/>
      <c r="D29" s="4" t="s">
        <v>36</v>
      </c>
      <c r="E29" s="4" t="s">
        <v>37</v>
      </c>
      <c r="F29" s="3"/>
      <c r="G29" s="32" t="s">
        <v>38</v>
      </c>
    </row>
    <row r="30" spans="2:7" x14ac:dyDescent="0.2">
      <c r="B30" s="24" t="s">
        <v>39</v>
      </c>
      <c r="C30" s="1" t="s">
        <v>40</v>
      </c>
      <c r="D30" s="12">
        <f>-G12</f>
        <v>-3188</v>
      </c>
      <c r="E30" s="12">
        <f>D61</f>
        <v>3188</v>
      </c>
      <c r="F30" s="1"/>
      <c r="G30" s="12">
        <f>D30+E30</f>
        <v>0</v>
      </c>
    </row>
    <row r="31" spans="2:7" x14ac:dyDescent="0.2">
      <c r="B31" s="35" t="s">
        <v>41</v>
      </c>
      <c r="C31" s="3" t="s">
        <v>42</v>
      </c>
      <c r="D31" s="21">
        <f>-G13</f>
        <v>69207</v>
      </c>
      <c r="E31" s="21">
        <f>E61</f>
        <v>0</v>
      </c>
      <c r="F31" s="3"/>
      <c r="G31" s="21">
        <f>D31+E31</f>
        <v>69207</v>
      </c>
    </row>
    <row r="32" spans="2:7" x14ac:dyDescent="0.2">
      <c r="B32" s="5" t="s">
        <v>43</v>
      </c>
      <c r="C32" s="82"/>
      <c r="D32" s="83"/>
      <c r="E32" s="83"/>
      <c r="F32" s="84" t="s">
        <v>44</v>
      </c>
      <c r="G32" s="42">
        <f>G30+G31</f>
        <v>69207</v>
      </c>
    </row>
    <row r="33" spans="2:7" x14ac:dyDescent="0.2">
      <c r="B33" s="39"/>
      <c r="G33" s="40"/>
    </row>
    <row r="34" spans="2:7" x14ac:dyDescent="0.2">
      <c r="B34" s="6">
        <v>9</v>
      </c>
      <c r="C34" s="43" t="s">
        <v>45</v>
      </c>
      <c r="D34" s="8"/>
      <c r="E34" s="8"/>
      <c r="F34" s="9"/>
      <c r="G34" s="42">
        <f>G20+G32</f>
        <v>-56052.130000000005</v>
      </c>
    </row>
    <row r="35" spans="2:7" x14ac:dyDescent="0.2">
      <c r="B35" s="39"/>
      <c r="G35" s="40"/>
    </row>
    <row r="36" spans="2:7" x14ac:dyDescent="0.2">
      <c r="B36" s="6">
        <v>10</v>
      </c>
      <c r="C36" s="43" t="s">
        <v>46</v>
      </c>
      <c r="D36" s="8"/>
      <c r="E36" s="8"/>
      <c r="F36" s="9"/>
      <c r="G36" s="42">
        <f>G34/6</f>
        <v>-9342.0216666666674</v>
      </c>
    </row>
    <row r="38" spans="2:7" x14ac:dyDescent="0.2">
      <c r="B38" s="1"/>
      <c r="C38" s="44" t="s">
        <v>47</v>
      </c>
      <c r="D38" s="45"/>
      <c r="E38" s="45"/>
      <c r="F38" s="45"/>
      <c r="G38" s="46"/>
    </row>
    <row r="39" spans="2:7" x14ac:dyDescent="0.2">
      <c r="B39" s="1"/>
      <c r="C39" s="47"/>
      <c r="D39" s="47"/>
      <c r="E39" s="47"/>
      <c r="F39" s="47"/>
      <c r="G39" s="11"/>
    </row>
    <row r="40" spans="2:7" x14ac:dyDescent="0.2">
      <c r="B40" s="4">
        <v>11</v>
      </c>
      <c r="C40" s="48" t="s">
        <v>48</v>
      </c>
      <c r="D40" s="48"/>
      <c r="E40" s="48"/>
      <c r="F40" s="48"/>
      <c r="G40" s="49">
        <f>G14</f>
        <v>-66019</v>
      </c>
    </row>
    <row r="41" spans="2:7" x14ac:dyDescent="0.2">
      <c r="B41" s="4">
        <v>12</v>
      </c>
      <c r="C41" s="48" t="s">
        <v>49</v>
      </c>
      <c r="D41" s="48"/>
      <c r="E41" s="48"/>
      <c r="F41" s="48"/>
      <c r="G41" s="50">
        <f>G32</f>
        <v>69207</v>
      </c>
    </row>
    <row r="42" spans="2:7" x14ac:dyDescent="0.2">
      <c r="B42" s="4"/>
      <c r="C42" s="48"/>
      <c r="D42" s="48"/>
      <c r="E42" s="48"/>
      <c r="F42" s="48"/>
      <c r="G42" s="49"/>
    </row>
    <row r="43" spans="2:7" ht="15" thickBot="1" x14ac:dyDescent="0.25">
      <c r="B43" s="4">
        <v>13</v>
      </c>
      <c r="C43" s="48" t="s">
        <v>50</v>
      </c>
      <c r="D43" s="48"/>
      <c r="E43" s="48"/>
      <c r="F43" s="48"/>
      <c r="G43" s="51">
        <f>G40+G41</f>
        <v>3188</v>
      </c>
    </row>
    <row r="44" spans="2:7" ht="15" thickTop="1" x14ac:dyDescent="0.2">
      <c r="B44" s="4"/>
      <c r="C44" s="48"/>
      <c r="D44" s="48"/>
      <c r="E44" s="48"/>
      <c r="F44" s="48"/>
      <c r="G44" s="49"/>
    </row>
    <row r="45" spans="2:7" x14ac:dyDescent="0.2">
      <c r="B45" s="4">
        <v>14</v>
      </c>
      <c r="C45" s="48" t="s">
        <v>51</v>
      </c>
      <c r="D45" s="48"/>
      <c r="E45" s="48"/>
      <c r="F45" s="48"/>
      <c r="G45" s="49">
        <f>G34</f>
        <v>-56052.130000000005</v>
      </c>
    </row>
    <row r="46" spans="2:7" x14ac:dyDescent="0.2">
      <c r="B46" s="4"/>
      <c r="C46" s="48"/>
      <c r="D46" s="48"/>
      <c r="E46" s="48"/>
      <c r="F46" s="48"/>
      <c r="G46" s="49"/>
    </row>
    <row r="47" spans="2:7" x14ac:dyDescent="0.2">
      <c r="B47" s="4">
        <v>15</v>
      </c>
      <c r="C47" s="48" t="s">
        <v>52</v>
      </c>
      <c r="D47" s="48"/>
      <c r="E47" s="48"/>
      <c r="F47" s="48"/>
      <c r="G47" s="50">
        <f>SUM(F15:F20)</f>
        <v>-59240.130000000005</v>
      </c>
    </row>
    <row r="48" spans="2:7" x14ac:dyDescent="0.2">
      <c r="B48" s="4"/>
      <c r="C48" s="48"/>
      <c r="D48" s="48"/>
      <c r="E48" s="48"/>
      <c r="F48" s="48"/>
      <c r="G48" s="49"/>
    </row>
    <row r="49" spans="2:7" ht="15" thickBot="1" x14ac:dyDescent="0.25">
      <c r="B49" s="4">
        <v>16</v>
      </c>
      <c r="C49" s="48" t="s">
        <v>53</v>
      </c>
      <c r="D49" s="48"/>
      <c r="E49" s="48"/>
      <c r="F49" s="48"/>
      <c r="G49" s="51">
        <f>G45-G47</f>
        <v>3188</v>
      </c>
    </row>
    <row r="50" spans="2:7" ht="15" thickTop="1" x14ac:dyDescent="0.2">
      <c r="B50" s="33"/>
      <c r="C50" s="52"/>
      <c r="D50" s="52"/>
      <c r="E50" s="52"/>
      <c r="F50" s="52"/>
      <c r="G50" s="53"/>
    </row>
    <row r="52" spans="2:7" x14ac:dyDescent="0.2">
      <c r="B52" t="s">
        <v>54</v>
      </c>
    </row>
    <row r="53" spans="2:7" x14ac:dyDescent="0.2">
      <c r="B53" s="39"/>
      <c r="C53" s="1"/>
      <c r="D53" s="2" t="s">
        <v>55</v>
      </c>
      <c r="E53" s="2" t="s">
        <v>55</v>
      </c>
      <c r="F53" s="35"/>
    </row>
    <row r="54" spans="2:7" x14ac:dyDescent="0.2">
      <c r="B54" s="39"/>
      <c r="C54" s="5" t="s">
        <v>11</v>
      </c>
      <c r="D54" s="5" t="s">
        <v>56</v>
      </c>
      <c r="E54" s="5" t="s">
        <v>57</v>
      </c>
      <c r="F54" s="35"/>
    </row>
    <row r="55" spans="2:7" x14ac:dyDescent="0.2">
      <c r="C55" s="13">
        <v>43101</v>
      </c>
      <c r="D55" s="14">
        <v>531</v>
      </c>
      <c r="E55" s="14">
        <v>0</v>
      </c>
      <c r="F55" s="20"/>
    </row>
    <row r="56" spans="2:7" x14ac:dyDescent="0.2">
      <c r="C56" s="17">
        <v>43132</v>
      </c>
      <c r="D56" s="18">
        <v>531</v>
      </c>
      <c r="E56" s="18">
        <v>0</v>
      </c>
      <c r="F56" s="20"/>
    </row>
    <row r="57" spans="2:7" x14ac:dyDescent="0.2">
      <c r="C57" s="17">
        <v>43160</v>
      </c>
      <c r="D57" s="18">
        <v>531</v>
      </c>
      <c r="E57" s="18">
        <v>0</v>
      </c>
      <c r="F57" s="20"/>
    </row>
    <row r="58" spans="2:7" x14ac:dyDescent="0.2">
      <c r="C58" s="17">
        <v>43191</v>
      </c>
      <c r="D58" s="18">
        <v>531</v>
      </c>
      <c r="E58" s="18">
        <v>0</v>
      </c>
      <c r="F58" s="20"/>
    </row>
    <row r="59" spans="2:7" x14ac:dyDescent="0.2">
      <c r="C59" s="17">
        <v>43221</v>
      </c>
      <c r="D59" s="18">
        <v>531</v>
      </c>
      <c r="E59" s="18">
        <v>0</v>
      </c>
      <c r="F59" s="20"/>
    </row>
    <row r="60" spans="2:7" x14ac:dyDescent="0.2">
      <c r="C60" s="26">
        <v>43252</v>
      </c>
      <c r="D60" s="27">
        <v>533</v>
      </c>
      <c r="E60" s="27">
        <v>0</v>
      </c>
      <c r="F60" s="20"/>
    </row>
    <row r="61" spans="2:7" x14ac:dyDescent="0.2">
      <c r="C61" s="54" t="s">
        <v>58</v>
      </c>
      <c r="D61" s="42">
        <f>SUM(D55:D60)</f>
        <v>3188</v>
      </c>
      <c r="E61" s="42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83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68619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104745</v>
      </c>
    </row>
    <row r="14" spans="2:7" x14ac:dyDescent="0.2">
      <c r="B14" s="4" t="s">
        <v>21</v>
      </c>
      <c r="C14" s="8" t="s">
        <v>20</v>
      </c>
      <c r="D14" s="8"/>
      <c r="E14" s="8"/>
      <c r="F14" s="11"/>
      <c r="G14" s="14">
        <v>52158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225522</v>
      </c>
    </row>
    <row r="16" spans="2:7" x14ac:dyDescent="0.2">
      <c r="B16" s="4">
        <v>2</v>
      </c>
      <c r="C16" s="13">
        <v>43101</v>
      </c>
      <c r="D16" s="14">
        <f>1184113-(894+24)-1872</f>
        <v>1181323</v>
      </c>
      <c r="E16" s="15">
        <f>1046104.71+5264.21+177745.11+18321.03+883.12+24580.97</f>
        <v>1272899.1499999999</v>
      </c>
      <c r="F16" s="16">
        <f t="shared" ref="F16:F23" si="0">D16-E16</f>
        <v>-91576.149999999907</v>
      </c>
      <c r="G16" s="12">
        <f t="shared" ref="G16:G23" si="1">G15+F16</f>
        <v>133945.85000000009</v>
      </c>
    </row>
    <row r="17" spans="2:7" x14ac:dyDescent="0.2">
      <c r="B17" s="4">
        <v>3</v>
      </c>
      <c r="C17" s="17">
        <v>43132</v>
      </c>
      <c r="D17" s="18">
        <f>630273-1232-(588+16)</f>
        <v>628437</v>
      </c>
      <c r="E17" s="19">
        <f>753515.15+4849.19+159361.15+68691.99+744.27+23181.19</f>
        <v>1010342.94</v>
      </c>
      <c r="F17" s="20">
        <f t="shared" si="0"/>
        <v>-381905.93999999994</v>
      </c>
      <c r="G17" s="21">
        <f t="shared" si="1"/>
        <v>-247960.08999999985</v>
      </c>
    </row>
    <row r="18" spans="2:7" x14ac:dyDescent="0.2">
      <c r="B18" s="4">
        <v>4</v>
      </c>
      <c r="C18" s="17">
        <v>43160</v>
      </c>
      <c r="D18" s="18">
        <f>391276-832-(398+10)</f>
        <v>390036</v>
      </c>
      <c r="E18" s="19">
        <f>215410.26+1691.68+52399.17+46548.18+237.35+6851.27</f>
        <v>323137.90999999997</v>
      </c>
      <c r="F18" s="20">
        <f t="shared" si="0"/>
        <v>66898.090000000026</v>
      </c>
      <c r="G18" s="21">
        <f t="shared" si="1"/>
        <v>-181061.99999999983</v>
      </c>
    </row>
    <row r="19" spans="2:7" x14ac:dyDescent="0.2">
      <c r="B19" s="4">
        <v>5</v>
      </c>
      <c r="C19" s="17">
        <v>43191</v>
      </c>
      <c r="D19" s="18">
        <f>613489-1544-(737+19)</f>
        <v>611189</v>
      </c>
      <c r="E19" s="19">
        <f>151276.62+1009.61+34572.5-63195.02+171.06+4942.82</f>
        <v>128777.59</v>
      </c>
      <c r="F19" s="20">
        <f t="shared" si="0"/>
        <v>482411.41000000003</v>
      </c>
      <c r="G19" s="21">
        <f t="shared" si="1"/>
        <v>301349.41000000021</v>
      </c>
    </row>
    <row r="20" spans="2:7" x14ac:dyDescent="0.2">
      <c r="B20" s="4">
        <v>6</v>
      </c>
      <c r="C20" s="17">
        <v>43221</v>
      </c>
      <c r="D20" s="18">
        <f>772204-1648-(790+21)</f>
        <v>769745</v>
      </c>
      <c r="E20" s="19">
        <f>636431.9+5784.18+174132.81-171.64+577.95+20613.95</f>
        <v>837369.15</v>
      </c>
      <c r="F20" s="20">
        <f t="shared" si="0"/>
        <v>-67624.150000000023</v>
      </c>
      <c r="G20" s="21">
        <f t="shared" si="1"/>
        <v>233725.26000000018</v>
      </c>
    </row>
    <row r="21" spans="2:7" x14ac:dyDescent="0.2">
      <c r="B21" s="4">
        <v>7</v>
      </c>
      <c r="C21" s="17">
        <v>43252</v>
      </c>
      <c r="D21" s="18">
        <f>957959-1792-(864+23)</f>
        <v>955280</v>
      </c>
      <c r="E21" s="19">
        <f>643085.11+4751.15+157048+171.81+484.9+19358.41</f>
        <v>824899.38000000012</v>
      </c>
      <c r="F21" s="22">
        <f t="shared" si="0"/>
        <v>130380.61999999988</v>
      </c>
      <c r="G21" s="23">
        <f t="shared" si="1"/>
        <v>364105.88000000006</v>
      </c>
    </row>
    <row r="22" spans="2:7" x14ac:dyDescent="0.2">
      <c r="B22" s="24" t="s">
        <v>23</v>
      </c>
      <c r="C22" s="13">
        <v>43282</v>
      </c>
      <c r="D22" s="14">
        <f>888991-1758-(850+22)</f>
        <v>886361</v>
      </c>
      <c r="E22" s="15">
        <f>780560.7+5170.43+184353.99+18779.32+536.37+17295.34</f>
        <v>1006696.1499999999</v>
      </c>
      <c r="F22" s="16">
        <f t="shared" si="0"/>
        <v>-120335.14999999991</v>
      </c>
      <c r="G22" s="12">
        <f t="shared" si="1"/>
        <v>243770.73000000016</v>
      </c>
    </row>
    <row r="23" spans="2:7" x14ac:dyDescent="0.2">
      <c r="B23" s="25" t="s">
        <v>24</v>
      </c>
      <c r="C23" s="26">
        <v>43313</v>
      </c>
      <c r="D23" s="27">
        <f>795679-1586-(773+20)</f>
        <v>793300</v>
      </c>
      <c r="E23" s="28">
        <f>689179.45+4728.11+179001.35+18010.35+560.94+16527.03</f>
        <v>908007.22999999986</v>
      </c>
      <c r="F23" s="22">
        <f t="shared" si="0"/>
        <v>-114707.22999999986</v>
      </c>
      <c r="G23" s="23">
        <f t="shared" si="1"/>
        <v>129063.50000000029</v>
      </c>
    </row>
    <row r="24" spans="2:7" x14ac:dyDescent="0.2">
      <c r="B24" s="5"/>
      <c r="C24" s="29" t="s">
        <v>25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-68619</v>
      </c>
      <c r="E31" s="12">
        <f>D63</f>
        <v>68619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-104745</v>
      </c>
      <c r="E32" s="21">
        <f>E63</f>
        <v>87290</v>
      </c>
      <c r="F32" s="3"/>
      <c r="G32" s="21">
        <f>D32+E32</f>
        <v>-17455</v>
      </c>
    </row>
    <row r="33" spans="2:7" x14ac:dyDescent="0.2">
      <c r="B33" s="35" t="s">
        <v>43</v>
      </c>
      <c r="C33" s="33" t="s">
        <v>42</v>
      </c>
      <c r="D33" s="23">
        <f>-G14</f>
        <v>-52158</v>
      </c>
      <c r="E33" s="23">
        <f>G63</f>
        <v>0</v>
      </c>
      <c r="F33" s="33"/>
      <c r="G33" s="23">
        <f>D33+E33</f>
        <v>-52158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-69613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294492.88000000006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49082.146666666675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225522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-69613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155909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294492.88000000006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138583.88000000006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155909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  <c r="G55" s="35"/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  <c r="G56" s="35"/>
    </row>
    <row r="57" spans="2:7" x14ac:dyDescent="0.2">
      <c r="C57" s="13">
        <v>43101</v>
      </c>
      <c r="D57" s="14">
        <v>68619</v>
      </c>
      <c r="E57" s="14">
        <v>0</v>
      </c>
      <c r="F57" s="12">
        <v>0</v>
      </c>
      <c r="G57" s="20"/>
    </row>
    <row r="58" spans="2:7" x14ac:dyDescent="0.2">
      <c r="C58" s="17">
        <v>43132</v>
      </c>
      <c r="D58" s="18">
        <v>0</v>
      </c>
      <c r="E58" s="18">
        <v>17458</v>
      </c>
      <c r="F58" s="21">
        <v>0</v>
      </c>
      <c r="G58" s="20"/>
    </row>
    <row r="59" spans="2:7" x14ac:dyDescent="0.2">
      <c r="C59" s="17">
        <v>43160</v>
      </c>
      <c r="D59" s="18">
        <v>0</v>
      </c>
      <c r="E59" s="18">
        <v>17458</v>
      </c>
      <c r="F59" s="21">
        <v>0</v>
      </c>
      <c r="G59" s="20"/>
    </row>
    <row r="60" spans="2:7" x14ac:dyDescent="0.2">
      <c r="C60" s="17">
        <v>43191</v>
      </c>
      <c r="D60" s="18">
        <v>0</v>
      </c>
      <c r="E60" s="18">
        <v>17458</v>
      </c>
      <c r="F60" s="21">
        <v>0</v>
      </c>
      <c r="G60" s="20"/>
    </row>
    <row r="61" spans="2:7" x14ac:dyDescent="0.2">
      <c r="C61" s="17">
        <v>43221</v>
      </c>
      <c r="D61" s="18">
        <v>0</v>
      </c>
      <c r="E61" s="18">
        <v>17458</v>
      </c>
      <c r="F61" s="21">
        <v>0</v>
      </c>
      <c r="G61" s="20"/>
    </row>
    <row r="62" spans="2:7" x14ac:dyDescent="0.2">
      <c r="C62" s="26">
        <v>43252</v>
      </c>
      <c r="D62" s="18">
        <v>0</v>
      </c>
      <c r="E62" s="27">
        <v>17458</v>
      </c>
      <c r="F62" s="23">
        <v>0</v>
      </c>
      <c r="G62" s="20"/>
    </row>
    <row r="63" spans="2:7" x14ac:dyDescent="0.2">
      <c r="C63" s="54" t="s">
        <v>58</v>
      </c>
      <c r="D63" s="42">
        <f>SUM(D57:D62)</f>
        <v>68619</v>
      </c>
      <c r="E63" s="42">
        <f>SUM(E57:E62)</f>
        <v>87290</v>
      </c>
      <c r="F63" s="42">
        <f>SUM(F57:F62)</f>
        <v>0</v>
      </c>
      <c r="G63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A2" sqref="A2"/>
    </sheetView>
  </sheetViews>
  <sheetFormatPr defaultColWidth="12.625" defaultRowHeight="14.25" x14ac:dyDescent="0.2"/>
  <cols>
    <col min="2" max="6" width="17.625" customWidth="1"/>
  </cols>
  <sheetData>
    <row r="1" spans="1:7" ht="15" x14ac:dyDescent="0.2">
      <c r="A1" s="56"/>
      <c r="B1" s="56"/>
      <c r="C1" s="56"/>
      <c r="D1" s="56"/>
      <c r="E1" s="56"/>
      <c r="F1" s="56"/>
      <c r="G1" s="56"/>
    </row>
    <row r="2" spans="1:7" ht="15" x14ac:dyDescent="0.2">
      <c r="A2" s="56"/>
      <c r="B2" s="56"/>
      <c r="C2" s="56"/>
      <c r="D2" s="56"/>
      <c r="E2" s="56"/>
      <c r="F2" s="56"/>
      <c r="G2" s="56"/>
    </row>
    <row r="3" spans="1:7" ht="15" x14ac:dyDescent="0.2">
      <c r="A3" s="56"/>
      <c r="B3" s="118" t="s">
        <v>84</v>
      </c>
      <c r="C3" s="119"/>
      <c r="D3" s="119"/>
      <c r="E3" s="119"/>
      <c r="F3" s="120"/>
      <c r="G3" s="56"/>
    </row>
    <row r="4" spans="1:7" ht="15" x14ac:dyDescent="0.2">
      <c r="A4" s="56"/>
      <c r="B4" s="121"/>
      <c r="C4" s="122"/>
      <c r="D4" s="122"/>
      <c r="E4" s="122"/>
      <c r="F4" s="123"/>
      <c r="G4" s="56"/>
    </row>
    <row r="5" spans="1:7" ht="15" x14ac:dyDescent="0.2">
      <c r="A5" s="56"/>
      <c r="B5" s="56"/>
      <c r="C5" s="56"/>
      <c r="D5" s="56"/>
      <c r="E5" s="56"/>
      <c r="F5" s="56"/>
      <c r="G5" s="56"/>
    </row>
    <row r="6" spans="1:7" ht="15.75" x14ac:dyDescent="0.25">
      <c r="A6" s="56"/>
      <c r="B6" s="57" t="s">
        <v>85</v>
      </c>
      <c r="C6" s="56"/>
      <c r="D6" s="56"/>
      <c r="E6" s="56"/>
      <c r="F6" s="56"/>
      <c r="G6" s="56"/>
    </row>
    <row r="7" spans="1:7" ht="15" x14ac:dyDescent="0.2">
      <c r="A7" s="56"/>
      <c r="B7" s="56"/>
      <c r="C7" s="56"/>
      <c r="D7" s="56"/>
      <c r="E7" s="56"/>
      <c r="F7" s="56"/>
      <c r="G7" s="56"/>
    </row>
    <row r="8" spans="1:7" ht="15" x14ac:dyDescent="0.2">
      <c r="A8" s="56"/>
      <c r="B8" s="85"/>
      <c r="C8" s="85"/>
      <c r="D8" s="86" t="s">
        <v>1</v>
      </c>
      <c r="E8" s="85"/>
      <c r="F8" s="85"/>
      <c r="G8" s="56"/>
    </row>
    <row r="9" spans="1:7" ht="15" x14ac:dyDescent="0.2">
      <c r="A9" s="56"/>
      <c r="B9" s="87"/>
      <c r="C9" s="88" t="s">
        <v>2</v>
      </c>
      <c r="D9" s="88" t="s">
        <v>3</v>
      </c>
      <c r="E9" s="87"/>
      <c r="F9" s="87"/>
      <c r="G9" s="56"/>
    </row>
    <row r="10" spans="1:7" ht="15" x14ac:dyDescent="0.2">
      <c r="A10" s="56"/>
      <c r="B10" s="87"/>
      <c r="C10" s="88" t="s">
        <v>4</v>
      </c>
      <c r="D10" s="88" t="s">
        <v>5</v>
      </c>
      <c r="E10" s="88" t="s">
        <v>6</v>
      </c>
      <c r="F10" s="88" t="s">
        <v>7</v>
      </c>
      <c r="G10" s="56"/>
    </row>
    <row r="11" spans="1:7" ht="15" x14ac:dyDescent="0.2">
      <c r="A11" s="56"/>
      <c r="B11" s="89"/>
      <c r="C11" s="89" t="s">
        <v>8</v>
      </c>
      <c r="D11" s="89" t="s">
        <v>8</v>
      </c>
      <c r="E11" s="89" t="s">
        <v>9</v>
      </c>
      <c r="F11" s="89" t="s">
        <v>9</v>
      </c>
      <c r="G11" s="56"/>
    </row>
    <row r="12" spans="1:7" ht="15" x14ac:dyDescent="0.2">
      <c r="A12" s="56"/>
      <c r="B12" s="90" t="s">
        <v>11</v>
      </c>
      <c r="C12" s="91" t="s">
        <v>75</v>
      </c>
      <c r="D12" s="91" t="s">
        <v>12</v>
      </c>
      <c r="E12" s="91" t="s">
        <v>13</v>
      </c>
      <c r="F12" s="91" t="s">
        <v>14</v>
      </c>
      <c r="G12" s="56"/>
    </row>
    <row r="13" spans="1:7" ht="15" x14ac:dyDescent="0.2">
      <c r="A13" s="56"/>
      <c r="B13" s="92">
        <v>43101</v>
      </c>
      <c r="C13" s="93">
        <v>542251</v>
      </c>
      <c r="D13" s="93">
        <v>542251</v>
      </c>
      <c r="E13" s="94">
        <f t="shared" ref="E13:E20" si="0">C13-D13</f>
        <v>0</v>
      </c>
      <c r="F13" s="94">
        <f>E13</f>
        <v>0</v>
      </c>
      <c r="G13" s="56"/>
    </row>
    <row r="14" spans="1:7" ht="15" x14ac:dyDescent="0.2">
      <c r="A14" s="56"/>
      <c r="B14" s="95">
        <v>43132</v>
      </c>
      <c r="C14" s="96">
        <v>384879</v>
      </c>
      <c r="D14" s="96">
        <v>384879</v>
      </c>
      <c r="E14" s="97">
        <f t="shared" si="0"/>
        <v>0</v>
      </c>
      <c r="F14" s="97">
        <f>F13+E14</f>
        <v>0</v>
      </c>
      <c r="G14" s="56"/>
    </row>
    <row r="15" spans="1:7" ht="15" x14ac:dyDescent="0.2">
      <c r="A15" s="56"/>
      <c r="B15" s="95">
        <v>43160</v>
      </c>
      <c r="C15" s="96">
        <f>249977</f>
        <v>249977</v>
      </c>
      <c r="D15" s="96">
        <v>249977</v>
      </c>
      <c r="E15" s="97">
        <f t="shared" si="0"/>
        <v>0</v>
      </c>
      <c r="F15" s="97">
        <f t="shared" ref="F15:F18" si="1">F14+E15</f>
        <v>0</v>
      </c>
      <c r="G15" s="56"/>
    </row>
    <row r="16" spans="1:7" ht="15" x14ac:dyDescent="0.2">
      <c r="A16" s="56"/>
      <c r="B16" s="95">
        <v>43191</v>
      </c>
      <c r="C16" s="96">
        <v>452394</v>
      </c>
      <c r="D16" s="96">
        <v>452394</v>
      </c>
      <c r="E16" s="97">
        <f t="shared" si="0"/>
        <v>0</v>
      </c>
      <c r="F16" s="97">
        <f t="shared" si="1"/>
        <v>0</v>
      </c>
      <c r="G16" s="56"/>
    </row>
    <row r="17" spans="1:7" ht="15" x14ac:dyDescent="0.2">
      <c r="A17" s="56"/>
      <c r="B17" s="95">
        <v>43221</v>
      </c>
      <c r="C17" s="96">
        <v>496882</v>
      </c>
      <c r="D17" s="96">
        <v>496882</v>
      </c>
      <c r="E17" s="97">
        <f t="shared" si="0"/>
        <v>0</v>
      </c>
      <c r="F17" s="97">
        <f t="shared" si="1"/>
        <v>0</v>
      </c>
      <c r="G17" s="56"/>
    </row>
    <row r="18" spans="1:7" ht="15" x14ac:dyDescent="0.2">
      <c r="A18" s="56"/>
      <c r="B18" s="98">
        <v>43252</v>
      </c>
      <c r="C18" s="99">
        <v>520818</v>
      </c>
      <c r="D18" s="99">
        <v>520818</v>
      </c>
      <c r="E18" s="100">
        <f t="shared" si="0"/>
        <v>0</v>
      </c>
      <c r="F18" s="100">
        <f t="shared" si="1"/>
        <v>0</v>
      </c>
      <c r="G18" s="56"/>
    </row>
    <row r="19" spans="1:7" ht="15" x14ac:dyDescent="0.2">
      <c r="A19" s="56"/>
      <c r="B19" s="95">
        <v>43282</v>
      </c>
      <c r="C19" s="93">
        <v>462793</v>
      </c>
      <c r="D19" s="93">
        <v>462793</v>
      </c>
      <c r="E19" s="97">
        <f t="shared" si="0"/>
        <v>0</v>
      </c>
      <c r="F19" s="97">
        <f>F18+E19</f>
        <v>0</v>
      </c>
      <c r="G19" s="56"/>
    </row>
    <row r="20" spans="1:7" ht="15" x14ac:dyDescent="0.2">
      <c r="A20" s="56"/>
      <c r="B20" s="98">
        <v>43313</v>
      </c>
      <c r="C20" s="99">
        <v>430932</v>
      </c>
      <c r="D20" s="99">
        <v>430932</v>
      </c>
      <c r="E20" s="100">
        <f t="shared" si="0"/>
        <v>0</v>
      </c>
      <c r="F20" s="100">
        <f>F19+E20</f>
        <v>0</v>
      </c>
      <c r="G20" s="56"/>
    </row>
    <row r="21" spans="1:7" ht="15" x14ac:dyDescent="0.2">
      <c r="A21" s="56"/>
      <c r="B21" s="56"/>
      <c r="C21" s="56"/>
      <c r="D21" s="56"/>
      <c r="E21" s="56"/>
      <c r="F21" s="56"/>
      <c r="G21" s="56"/>
    </row>
    <row r="22" spans="1:7" ht="15" x14ac:dyDescent="0.2">
      <c r="A22" s="56"/>
      <c r="B22" s="101" t="s">
        <v>76</v>
      </c>
      <c r="C22" s="102"/>
      <c r="D22" s="102"/>
      <c r="E22" s="103"/>
      <c r="F22" s="104">
        <f>F18</f>
        <v>0</v>
      </c>
      <c r="G22" s="56"/>
    </row>
    <row r="23" spans="1:7" ht="15" x14ac:dyDescent="0.2">
      <c r="A23" s="56"/>
      <c r="B23" s="56"/>
      <c r="C23" s="56"/>
      <c r="D23" s="56"/>
      <c r="E23" s="56"/>
      <c r="F23" s="105"/>
      <c r="G23" s="56"/>
    </row>
    <row r="24" spans="1:7" ht="15" x14ac:dyDescent="0.2">
      <c r="A24" s="56"/>
      <c r="B24" s="101" t="s">
        <v>77</v>
      </c>
      <c r="C24" s="102"/>
      <c r="D24" s="102"/>
      <c r="E24" s="103"/>
      <c r="F24" s="104">
        <f>F22/6</f>
        <v>0</v>
      </c>
      <c r="G24" s="56"/>
    </row>
    <row r="25" spans="1:7" ht="15" x14ac:dyDescent="0.2">
      <c r="A25" s="56"/>
      <c r="B25" s="56"/>
      <c r="C25" s="56"/>
      <c r="D25" s="56"/>
      <c r="E25" s="56"/>
      <c r="F25" s="56"/>
      <c r="G25" s="56"/>
    </row>
    <row r="26" spans="1:7" ht="15.75" x14ac:dyDescent="0.25">
      <c r="A26" s="56"/>
      <c r="B26" s="57" t="s">
        <v>86</v>
      </c>
      <c r="C26" s="56"/>
      <c r="D26" s="56"/>
      <c r="E26" s="56"/>
      <c r="F26" s="56"/>
      <c r="G26" s="56"/>
    </row>
    <row r="27" spans="1:7" ht="15" x14ac:dyDescent="0.2">
      <c r="A27" s="56"/>
      <c r="B27" s="56"/>
      <c r="C27" s="56"/>
      <c r="D27" s="56"/>
      <c r="E27" s="56"/>
      <c r="F27" s="56"/>
      <c r="G27" s="56"/>
    </row>
    <row r="28" spans="1:7" ht="15" x14ac:dyDescent="0.2">
      <c r="A28" s="56"/>
      <c r="B28" s="85"/>
      <c r="C28" s="85"/>
      <c r="D28" s="86" t="s">
        <v>1</v>
      </c>
      <c r="E28" s="85"/>
      <c r="F28" s="85"/>
      <c r="G28" s="56"/>
    </row>
    <row r="29" spans="1:7" ht="15" x14ac:dyDescent="0.2">
      <c r="A29" s="56"/>
      <c r="B29" s="87"/>
      <c r="C29" s="88" t="s">
        <v>2</v>
      </c>
      <c r="D29" s="88" t="s">
        <v>3</v>
      </c>
      <c r="E29" s="87"/>
      <c r="F29" s="87"/>
      <c r="G29" s="56"/>
    </row>
    <row r="30" spans="1:7" ht="15" x14ac:dyDescent="0.2">
      <c r="A30" s="56"/>
      <c r="B30" s="87"/>
      <c r="C30" s="88" t="s">
        <v>4</v>
      </c>
      <c r="D30" s="88" t="s">
        <v>5</v>
      </c>
      <c r="E30" s="88" t="s">
        <v>6</v>
      </c>
      <c r="F30" s="88" t="s">
        <v>7</v>
      </c>
      <c r="G30" s="56"/>
    </row>
    <row r="31" spans="1:7" ht="15" x14ac:dyDescent="0.2">
      <c r="A31" s="56"/>
      <c r="B31" s="89"/>
      <c r="C31" s="89" t="s">
        <v>8</v>
      </c>
      <c r="D31" s="89" t="s">
        <v>8</v>
      </c>
      <c r="E31" s="89" t="s">
        <v>9</v>
      </c>
      <c r="F31" s="89" t="s">
        <v>9</v>
      </c>
      <c r="G31" s="56"/>
    </row>
    <row r="32" spans="1:7" ht="15" x14ac:dyDescent="0.2">
      <c r="A32" s="56"/>
      <c r="B32" s="90" t="s">
        <v>11</v>
      </c>
      <c r="C32" s="91" t="s">
        <v>75</v>
      </c>
      <c r="D32" s="91" t="s">
        <v>12</v>
      </c>
      <c r="E32" s="91" t="s">
        <v>13</v>
      </c>
      <c r="F32" s="91" t="s">
        <v>14</v>
      </c>
      <c r="G32" s="56"/>
    </row>
    <row r="33" spans="1:7" ht="15" x14ac:dyDescent="0.2">
      <c r="A33" s="56"/>
      <c r="B33" s="92">
        <v>43101</v>
      </c>
      <c r="C33" s="106">
        <f>192901+(894+24)</f>
        <v>193819</v>
      </c>
      <c r="D33" s="93">
        <v>193819</v>
      </c>
      <c r="E33" s="94">
        <f t="shared" ref="E33:E40" si="2">C33-D33</f>
        <v>0</v>
      </c>
      <c r="F33" s="94">
        <f>+E33</f>
        <v>0</v>
      </c>
      <c r="G33" s="56"/>
    </row>
    <row r="34" spans="1:7" ht="15" x14ac:dyDescent="0.2">
      <c r="A34" s="56"/>
      <c r="B34" s="95">
        <v>43132</v>
      </c>
      <c r="C34" s="106">
        <f>132082+(588+16)</f>
        <v>132686</v>
      </c>
      <c r="D34" s="96">
        <v>132686</v>
      </c>
      <c r="E34" s="97">
        <f t="shared" si="2"/>
        <v>0</v>
      </c>
      <c r="F34" s="97">
        <f>F33+E34</f>
        <v>0</v>
      </c>
      <c r="G34" s="56"/>
    </row>
    <row r="35" spans="1:7" ht="15" x14ac:dyDescent="0.2">
      <c r="A35" s="56"/>
      <c r="B35" s="95">
        <v>43160</v>
      </c>
      <c r="C35" s="106">
        <f>86549+(398+10)</f>
        <v>86957</v>
      </c>
      <c r="D35" s="96">
        <v>86957</v>
      </c>
      <c r="E35" s="97">
        <f t="shared" si="2"/>
        <v>0</v>
      </c>
      <c r="F35" s="97">
        <f t="shared" ref="F35:F38" si="3">F34+E35</f>
        <v>0</v>
      </c>
      <c r="G35" s="56"/>
    </row>
    <row r="36" spans="1:7" ht="15" x14ac:dyDescent="0.2">
      <c r="A36" s="56"/>
      <c r="B36" s="95">
        <v>43191</v>
      </c>
      <c r="C36" s="106">
        <f>154590+(737+19)</f>
        <v>155346</v>
      </c>
      <c r="D36" s="96">
        <v>155346</v>
      </c>
      <c r="E36" s="97">
        <f t="shared" si="2"/>
        <v>0</v>
      </c>
      <c r="F36" s="97">
        <f t="shared" si="3"/>
        <v>0</v>
      </c>
      <c r="G36" s="56"/>
    </row>
    <row r="37" spans="1:7" ht="15" x14ac:dyDescent="0.2">
      <c r="A37" s="56"/>
      <c r="B37" s="95">
        <v>43221</v>
      </c>
      <c r="C37" s="106">
        <f>166300+(790+21)</f>
        <v>167111</v>
      </c>
      <c r="D37" s="96">
        <v>167111</v>
      </c>
      <c r="E37" s="97">
        <f t="shared" si="2"/>
        <v>0</v>
      </c>
      <c r="F37" s="97">
        <f t="shared" si="3"/>
        <v>0</v>
      </c>
      <c r="G37" s="56"/>
    </row>
    <row r="38" spans="1:7" ht="15" x14ac:dyDescent="0.2">
      <c r="A38" s="56"/>
      <c r="B38" s="98">
        <v>43252</v>
      </c>
      <c r="C38" s="99">
        <f>177432+(864+23)</f>
        <v>178319</v>
      </c>
      <c r="D38" s="99">
        <v>178319</v>
      </c>
      <c r="E38" s="100">
        <f t="shared" si="2"/>
        <v>0</v>
      </c>
      <c r="F38" s="100">
        <f t="shared" si="3"/>
        <v>0</v>
      </c>
      <c r="G38" s="56"/>
    </row>
    <row r="39" spans="1:7" ht="15" x14ac:dyDescent="0.2">
      <c r="A39" s="56"/>
      <c r="B39" s="95">
        <v>43282</v>
      </c>
      <c r="C39" s="93">
        <f>167337+(850+22)</f>
        <v>168209</v>
      </c>
      <c r="D39" s="93">
        <v>168209</v>
      </c>
      <c r="E39" s="97">
        <f t="shared" si="2"/>
        <v>0</v>
      </c>
      <c r="F39" s="97">
        <f>F38+E39</f>
        <v>0</v>
      </c>
      <c r="G39" s="56"/>
    </row>
    <row r="40" spans="1:7" ht="15" x14ac:dyDescent="0.2">
      <c r="A40" s="56"/>
      <c r="B40" s="98">
        <v>43313</v>
      </c>
      <c r="C40" s="99">
        <f>159645+(773+20)</f>
        <v>160438</v>
      </c>
      <c r="D40" s="99">
        <v>160438</v>
      </c>
      <c r="E40" s="100">
        <f t="shared" si="2"/>
        <v>0</v>
      </c>
      <c r="F40" s="100">
        <f>F39+E40</f>
        <v>0</v>
      </c>
      <c r="G40" s="56"/>
    </row>
    <row r="41" spans="1:7" ht="15" x14ac:dyDescent="0.2">
      <c r="A41" s="56"/>
      <c r="B41" s="56"/>
      <c r="C41" s="56"/>
      <c r="D41" s="56"/>
      <c r="E41" s="56"/>
      <c r="F41" s="56"/>
      <c r="G41" s="56"/>
    </row>
    <row r="42" spans="1:7" ht="15" x14ac:dyDescent="0.2">
      <c r="A42" s="56"/>
      <c r="B42" s="101" t="s">
        <v>76</v>
      </c>
      <c r="C42" s="102"/>
      <c r="D42" s="102"/>
      <c r="E42" s="103"/>
      <c r="F42" s="104">
        <f>F38</f>
        <v>0</v>
      </c>
      <c r="G42" s="56"/>
    </row>
    <row r="43" spans="1:7" ht="15" x14ac:dyDescent="0.2">
      <c r="A43" s="56"/>
      <c r="B43" s="56"/>
      <c r="C43" s="56"/>
      <c r="D43" s="56"/>
      <c r="E43" s="56"/>
      <c r="F43" s="105"/>
      <c r="G43" s="56"/>
    </row>
    <row r="44" spans="1:7" ht="15" x14ac:dyDescent="0.2">
      <c r="A44" s="56"/>
      <c r="B44" s="101" t="s">
        <v>77</v>
      </c>
      <c r="C44" s="102"/>
      <c r="D44" s="102"/>
      <c r="E44" s="103"/>
      <c r="F44" s="104">
        <f>F42/6</f>
        <v>0</v>
      </c>
      <c r="G44" s="56"/>
    </row>
    <row r="45" spans="1:7" ht="15" x14ac:dyDescent="0.2">
      <c r="A45" s="56"/>
      <c r="B45" s="56"/>
      <c r="C45" s="56"/>
      <c r="D45" s="56"/>
      <c r="E45" s="56"/>
      <c r="F45" s="56"/>
      <c r="G45" s="56"/>
    </row>
    <row r="46" spans="1:7" ht="15" x14ac:dyDescent="0.2">
      <c r="A46" s="56"/>
      <c r="B46" s="56"/>
      <c r="C46" s="56"/>
      <c r="D46" s="56"/>
      <c r="E46" s="56"/>
      <c r="F46" s="56"/>
      <c r="G46" s="56"/>
    </row>
  </sheetData>
  <mergeCells count="1">
    <mergeCell ref="B3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87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12480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-32662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-164563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-184745</v>
      </c>
    </row>
    <row r="16" spans="2:7" x14ac:dyDescent="0.2">
      <c r="B16" s="4">
        <v>2</v>
      </c>
      <c r="C16" s="13">
        <v>43101</v>
      </c>
      <c r="D16" s="14">
        <f>1342317-1175-10374</f>
        <v>1330768</v>
      </c>
      <c r="E16" s="15">
        <v>1418467.42</v>
      </c>
      <c r="F16" s="16">
        <f t="shared" ref="F16:F23" si="0">D16-E16</f>
        <v>-87699.419999999925</v>
      </c>
      <c r="G16" s="12">
        <f t="shared" ref="G16:G23" si="1">G15+F16</f>
        <v>-272444.41999999993</v>
      </c>
    </row>
    <row r="17" spans="2:7" x14ac:dyDescent="0.2">
      <c r="B17" s="4">
        <v>3</v>
      </c>
      <c r="C17" s="17">
        <v>43132</v>
      </c>
      <c r="D17" s="18">
        <f>707817-774-2747</f>
        <v>704296</v>
      </c>
      <c r="E17" s="19">
        <v>963186.59</v>
      </c>
      <c r="F17" s="20">
        <f t="shared" si="0"/>
        <v>-258890.58999999997</v>
      </c>
      <c r="G17" s="21">
        <f t="shared" si="1"/>
        <v>-531335.00999999989</v>
      </c>
    </row>
    <row r="18" spans="2:7" x14ac:dyDescent="0.2">
      <c r="B18" s="4">
        <v>4</v>
      </c>
      <c r="C18" s="17">
        <v>43160</v>
      </c>
      <c r="D18" s="18">
        <f>435248-518-3192</f>
        <v>431538</v>
      </c>
      <c r="E18" s="19">
        <v>639735.21</v>
      </c>
      <c r="F18" s="20">
        <f t="shared" si="0"/>
        <v>-208197.20999999996</v>
      </c>
      <c r="G18" s="21">
        <f t="shared" si="1"/>
        <v>-739532.21999999986</v>
      </c>
    </row>
    <row r="19" spans="2:7" x14ac:dyDescent="0.2">
      <c r="B19" s="4">
        <v>5</v>
      </c>
      <c r="C19" s="17">
        <v>43191</v>
      </c>
      <c r="D19" s="18">
        <f>687705-961-4585</f>
        <v>682159</v>
      </c>
      <c r="E19" s="19">
        <v>411625.26</v>
      </c>
      <c r="F19" s="20">
        <f t="shared" si="0"/>
        <v>270533.74</v>
      </c>
      <c r="G19" s="21">
        <f t="shared" si="1"/>
        <v>-468998.47999999986</v>
      </c>
    </row>
    <row r="20" spans="2:7" x14ac:dyDescent="0.2">
      <c r="B20" s="4">
        <v>6</v>
      </c>
      <c r="C20" s="17">
        <v>43221</v>
      </c>
      <c r="D20" s="18">
        <f>881693-1030-9110</f>
        <v>871553</v>
      </c>
      <c r="E20" s="19">
        <v>792412.17</v>
      </c>
      <c r="F20" s="20">
        <f t="shared" si="0"/>
        <v>79140.829999999958</v>
      </c>
      <c r="G20" s="21">
        <f t="shared" si="1"/>
        <v>-389857.64999999991</v>
      </c>
    </row>
    <row r="21" spans="2:7" x14ac:dyDescent="0.2">
      <c r="B21" s="4">
        <v>7</v>
      </c>
      <c r="C21" s="17">
        <v>43252</v>
      </c>
      <c r="D21" s="18">
        <f>1049946-1124-6384</f>
        <v>1042438</v>
      </c>
      <c r="E21" s="19">
        <v>966056.28</v>
      </c>
      <c r="F21" s="22">
        <f t="shared" si="0"/>
        <v>76381.719999999972</v>
      </c>
      <c r="G21" s="23">
        <f t="shared" si="1"/>
        <v>-313475.92999999993</v>
      </c>
    </row>
    <row r="22" spans="2:7" x14ac:dyDescent="0.2">
      <c r="B22" s="24" t="s">
        <v>23</v>
      </c>
      <c r="C22" s="13">
        <v>43282</v>
      </c>
      <c r="D22" s="14">
        <f>998142-1102-7091</f>
        <v>989949</v>
      </c>
      <c r="E22" s="15">
        <v>1069314.74</v>
      </c>
      <c r="F22" s="16">
        <f t="shared" si="0"/>
        <v>-79365.739999999991</v>
      </c>
      <c r="G22" s="12">
        <f t="shared" si="1"/>
        <v>-392841.66999999993</v>
      </c>
    </row>
    <row r="23" spans="2:7" x14ac:dyDescent="0.2">
      <c r="B23" s="25" t="s">
        <v>24</v>
      </c>
      <c r="C23" s="26">
        <v>43313</v>
      </c>
      <c r="D23" s="27">
        <f>896687-987-5933</f>
        <v>889767</v>
      </c>
      <c r="E23" s="28">
        <v>1073017.71</v>
      </c>
      <c r="F23" s="22">
        <f t="shared" si="0"/>
        <v>-183250.70999999996</v>
      </c>
      <c r="G23" s="23">
        <f t="shared" si="1"/>
        <v>-576092.37999999989</v>
      </c>
    </row>
    <row r="24" spans="2:7" x14ac:dyDescent="0.2">
      <c r="B24" s="5"/>
      <c r="C24" s="29" t="s">
        <v>72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-12480</v>
      </c>
      <c r="E31" s="12">
        <f>D63</f>
        <v>12480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32662</v>
      </c>
      <c r="E32" s="21">
        <f>E63</f>
        <v>-27220</v>
      </c>
      <c r="F32" s="3"/>
      <c r="G32" s="21">
        <f>D32+E32</f>
        <v>5442</v>
      </c>
    </row>
    <row r="33" spans="2:7" x14ac:dyDescent="0.2">
      <c r="B33" s="35" t="s">
        <v>43</v>
      </c>
      <c r="C33" s="33" t="s">
        <v>42</v>
      </c>
      <c r="D33" s="23">
        <f>-G14</f>
        <v>164563</v>
      </c>
      <c r="E33" s="23">
        <f>F63</f>
        <v>0</v>
      </c>
      <c r="F33" s="33"/>
      <c r="G33" s="23">
        <f>D33+E33</f>
        <v>164563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170005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-143470.92999999993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-23911.821666666656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-184745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170005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-14740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-143470.92999999993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-128730.92999999993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-14740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12480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-5444</v>
      </c>
      <c r="F58" s="21">
        <v>0</v>
      </c>
    </row>
    <row r="59" spans="2:7" x14ac:dyDescent="0.2">
      <c r="C59" s="17">
        <v>43160</v>
      </c>
      <c r="D59" s="18">
        <v>0</v>
      </c>
      <c r="E59" s="18">
        <v>-5444</v>
      </c>
      <c r="F59" s="21">
        <v>0</v>
      </c>
    </row>
    <row r="60" spans="2:7" x14ac:dyDescent="0.2">
      <c r="C60" s="17">
        <v>43191</v>
      </c>
      <c r="D60" s="18">
        <v>0</v>
      </c>
      <c r="E60" s="18">
        <v>-5444</v>
      </c>
      <c r="F60" s="21">
        <v>0</v>
      </c>
    </row>
    <row r="61" spans="2:7" x14ac:dyDescent="0.2">
      <c r="C61" s="17">
        <v>43221</v>
      </c>
      <c r="D61" s="18">
        <v>0</v>
      </c>
      <c r="E61" s="18">
        <v>-5444</v>
      </c>
      <c r="F61" s="21">
        <v>0</v>
      </c>
    </row>
    <row r="62" spans="2:7" x14ac:dyDescent="0.2">
      <c r="C62" s="26">
        <v>43252</v>
      </c>
      <c r="D62" s="27">
        <v>0</v>
      </c>
      <c r="E62" s="27">
        <v>-5444</v>
      </c>
      <c r="F62" s="23">
        <v>0</v>
      </c>
    </row>
    <row r="63" spans="2:7" x14ac:dyDescent="0.2">
      <c r="C63" s="54" t="s">
        <v>58</v>
      </c>
      <c r="D63" s="42">
        <f>SUM(D57:D62)</f>
        <v>12480</v>
      </c>
      <c r="E63" s="42">
        <f>SUM(E57:E62)</f>
        <v>-27220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88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-41754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-141806</v>
      </c>
    </row>
    <row r="14" spans="2:7" x14ac:dyDescent="0.2">
      <c r="B14" s="5" t="s">
        <v>21</v>
      </c>
      <c r="C14" s="8" t="s">
        <v>22</v>
      </c>
      <c r="D14" s="8"/>
      <c r="E14" s="8"/>
      <c r="F14" s="11"/>
      <c r="G14" s="12">
        <f>G12+G13</f>
        <v>-183560</v>
      </c>
    </row>
    <row r="15" spans="2:7" x14ac:dyDescent="0.2">
      <c r="B15" s="4">
        <v>2</v>
      </c>
      <c r="C15" s="13">
        <v>43101</v>
      </c>
      <c r="D15" s="14">
        <f>529201-604</f>
        <v>528597</v>
      </c>
      <c r="E15" s="15">
        <v>592456.03</v>
      </c>
      <c r="F15" s="16">
        <f t="shared" ref="F15:F22" si="0">D15-E15</f>
        <v>-63859.030000000028</v>
      </c>
      <c r="G15" s="12">
        <f t="shared" ref="G15:G22" si="1">G14+F15</f>
        <v>-247419.03000000003</v>
      </c>
    </row>
    <row r="16" spans="2:7" x14ac:dyDescent="0.2">
      <c r="B16" s="4">
        <v>3</v>
      </c>
      <c r="C16" s="17">
        <v>43132</v>
      </c>
      <c r="D16" s="18">
        <f>294932-398</f>
        <v>294534</v>
      </c>
      <c r="E16" s="19">
        <v>421080.34</v>
      </c>
      <c r="F16" s="20">
        <f t="shared" si="0"/>
        <v>-126546.34000000003</v>
      </c>
      <c r="G16" s="21">
        <f t="shared" si="1"/>
        <v>-373965.37000000005</v>
      </c>
    </row>
    <row r="17" spans="2:7" x14ac:dyDescent="0.2">
      <c r="B17" s="4">
        <v>4</v>
      </c>
      <c r="C17" s="17">
        <v>43160</v>
      </c>
      <c r="D17" s="18">
        <f>183784-269</f>
        <v>183515</v>
      </c>
      <c r="E17" s="19">
        <v>279651.15000000002</v>
      </c>
      <c r="F17" s="20">
        <f t="shared" si="0"/>
        <v>-96136.150000000023</v>
      </c>
      <c r="G17" s="21">
        <f t="shared" si="1"/>
        <v>-470101.52000000008</v>
      </c>
    </row>
    <row r="18" spans="2:7" x14ac:dyDescent="0.2">
      <c r="B18" s="4">
        <v>5</v>
      </c>
      <c r="C18" s="17">
        <v>43191</v>
      </c>
      <c r="D18" s="18">
        <f>293604-499</f>
        <v>293105</v>
      </c>
      <c r="E18" s="19">
        <v>175381.01</v>
      </c>
      <c r="F18" s="20">
        <f t="shared" si="0"/>
        <v>117723.98999999999</v>
      </c>
      <c r="G18" s="21">
        <f t="shared" si="1"/>
        <v>-352377.53000000009</v>
      </c>
    </row>
    <row r="19" spans="2:7" x14ac:dyDescent="0.2">
      <c r="B19" s="4">
        <v>6</v>
      </c>
      <c r="C19" s="17">
        <v>43221</v>
      </c>
      <c r="D19" s="18">
        <f>339041-534</f>
        <v>338507</v>
      </c>
      <c r="E19" s="19">
        <v>314941.28999999998</v>
      </c>
      <c r="F19" s="20">
        <f t="shared" si="0"/>
        <v>23565.710000000021</v>
      </c>
      <c r="G19" s="21">
        <f t="shared" si="1"/>
        <v>-328811.82000000007</v>
      </c>
    </row>
    <row r="20" spans="2:7" x14ac:dyDescent="0.2">
      <c r="B20" s="4">
        <v>7</v>
      </c>
      <c r="C20" s="17">
        <v>43252</v>
      </c>
      <c r="D20" s="18">
        <f>400055-584</f>
        <v>399471</v>
      </c>
      <c r="E20" s="19">
        <v>369798</v>
      </c>
      <c r="F20" s="22">
        <f t="shared" si="0"/>
        <v>29673</v>
      </c>
      <c r="G20" s="23">
        <f t="shared" si="1"/>
        <v>-299138.82000000007</v>
      </c>
    </row>
    <row r="21" spans="2:7" x14ac:dyDescent="0.2">
      <c r="B21" s="24" t="s">
        <v>23</v>
      </c>
      <c r="C21" s="13">
        <v>43282</v>
      </c>
      <c r="D21" s="14">
        <f>364012-574</f>
        <v>363438</v>
      </c>
      <c r="E21" s="15">
        <v>408197.44</v>
      </c>
      <c r="F21" s="16">
        <f t="shared" si="0"/>
        <v>-44759.44</v>
      </c>
      <c r="G21" s="12">
        <f t="shared" si="1"/>
        <v>-343898.26000000007</v>
      </c>
    </row>
    <row r="22" spans="2:7" x14ac:dyDescent="0.2">
      <c r="B22" s="25" t="s">
        <v>24</v>
      </c>
      <c r="C22" s="26">
        <v>43313</v>
      </c>
      <c r="D22" s="27">
        <f>338543-520</f>
        <v>338023</v>
      </c>
      <c r="E22" s="28">
        <v>408629.84</v>
      </c>
      <c r="F22" s="22">
        <f t="shared" si="0"/>
        <v>-70606.840000000026</v>
      </c>
      <c r="G22" s="23">
        <f t="shared" si="1"/>
        <v>-414505.10000000009</v>
      </c>
    </row>
    <row r="23" spans="2:7" x14ac:dyDescent="0.2">
      <c r="B23" s="5"/>
      <c r="C23" s="29" t="s">
        <v>25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26</v>
      </c>
      <c r="E25" s="4" t="s">
        <v>27</v>
      </c>
      <c r="F25" s="3"/>
      <c r="G25" s="21"/>
    </row>
    <row r="26" spans="2:7" x14ac:dyDescent="0.2">
      <c r="B26" s="4">
        <v>8</v>
      </c>
      <c r="C26" s="3"/>
      <c r="D26" s="4" t="s">
        <v>28</v>
      </c>
      <c r="E26" s="4" t="s">
        <v>29</v>
      </c>
      <c r="F26" s="3"/>
      <c r="G26" s="32" t="s">
        <v>26</v>
      </c>
    </row>
    <row r="27" spans="2:7" x14ac:dyDescent="0.2">
      <c r="B27" s="4"/>
      <c r="C27" s="3"/>
      <c r="D27" s="4" t="s">
        <v>30</v>
      </c>
      <c r="E27" s="4" t="s">
        <v>31</v>
      </c>
      <c r="F27" s="3"/>
      <c r="G27" s="32" t="s">
        <v>32</v>
      </c>
    </row>
    <row r="28" spans="2:7" x14ac:dyDescent="0.2">
      <c r="B28" s="4"/>
      <c r="C28" s="3"/>
      <c r="D28" s="4" t="s">
        <v>33</v>
      </c>
      <c r="E28" s="4" t="s">
        <v>34</v>
      </c>
      <c r="F28" s="3"/>
      <c r="G28" s="32" t="s">
        <v>35</v>
      </c>
    </row>
    <row r="29" spans="2:7" x14ac:dyDescent="0.2">
      <c r="B29" s="5"/>
      <c r="C29" s="3"/>
      <c r="D29" s="4" t="s">
        <v>36</v>
      </c>
      <c r="E29" s="4" t="s">
        <v>37</v>
      </c>
      <c r="F29" s="3"/>
      <c r="G29" s="32" t="s">
        <v>38</v>
      </c>
    </row>
    <row r="30" spans="2:7" x14ac:dyDescent="0.2">
      <c r="B30" s="24" t="s">
        <v>39</v>
      </c>
      <c r="C30" s="1" t="s">
        <v>40</v>
      </c>
      <c r="D30" s="12">
        <f>-G12</f>
        <v>41754</v>
      </c>
      <c r="E30" s="12">
        <f>D61</f>
        <v>-41754</v>
      </c>
      <c r="F30" s="1"/>
      <c r="G30" s="12">
        <f>D30+E30</f>
        <v>0</v>
      </c>
    </row>
    <row r="31" spans="2:7" x14ac:dyDescent="0.2">
      <c r="B31" s="35" t="s">
        <v>41</v>
      </c>
      <c r="C31" s="3" t="s">
        <v>42</v>
      </c>
      <c r="D31" s="21">
        <f>-G13</f>
        <v>141806</v>
      </c>
      <c r="E31" s="21">
        <f>E61</f>
        <v>0</v>
      </c>
      <c r="F31" s="3"/>
      <c r="G31" s="21">
        <f>D31+E31</f>
        <v>141806</v>
      </c>
    </row>
    <row r="32" spans="2:7" x14ac:dyDescent="0.2">
      <c r="B32" s="5" t="s">
        <v>43</v>
      </c>
      <c r="C32" s="82"/>
      <c r="D32" s="83"/>
      <c r="E32" s="83"/>
      <c r="F32" s="84" t="s">
        <v>44</v>
      </c>
      <c r="G32" s="42">
        <f>G30+G31</f>
        <v>141806</v>
      </c>
    </row>
    <row r="33" spans="2:7" x14ac:dyDescent="0.2">
      <c r="B33" s="39"/>
      <c r="G33" s="40"/>
    </row>
    <row r="34" spans="2:7" x14ac:dyDescent="0.2">
      <c r="B34" s="6">
        <v>9</v>
      </c>
      <c r="C34" s="43" t="s">
        <v>45</v>
      </c>
      <c r="D34" s="8"/>
      <c r="E34" s="8"/>
      <c r="F34" s="9"/>
      <c r="G34" s="42">
        <f>G20+G32</f>
        <v>-157332.82000000007</v>
      </c>
    </row>
    <row r="35" spans="2:7" x14ac:dyDescent="0.2">
      <c r="B35" s="39"/>
      <c r="G35" s="40"/>
    </row>
    <row r="36" spans="2:7" x14ac:dyDescent="0.2">
      <c r="B36" s="6">
        <v>10</v>
      </c>
      <c r="C36" s="43" t="s">
        <v>46</v>
      </c>
      <c r="D36" s="8"/>
      <c r="E36" s="8"/>
      <c r="F36" s="9"/>
      <c r="G36" s="42">
        <f>G34/6</f>
        <v>-26222.136666666676</v>
      </c>
    </row>
    <row r="38" spans="2:7" x14ac:dyDescent="0.2">
      <c r="B38" s="1"/>
      <c r="C38" s="44" t="s">
        <v>47</v>
      </c>
      <c r="D38" s="45"/>
      <c r="E38" s="45"/>
      <c r="F38" s="45"/>
      <c r="G38" s="46"/>
    </row>
    <row r="39" spans="2:7" x14ac:dyDescent="0.2">
      <c r="B39" s="1"/>
      <c r="C39" s="47"/>
      <c r="D39" s="47"/>
      <c r="E39" s="47"/>
      <c r="F39" s="47"/>
      <c r="G39" s="11"/>
    </row>
    <row r="40" spans="2:7" x14ac:dyDescent="0.2">
      <c r="B40" s="4">
        <v>11</v>
      </c>
      <c r="C40" s="48" t="s">
        <v>48</v>
      </c>
      <c r="D40" s="48"/>
      <c r="E40" s="48"/>
      <c r="F40" s="48"/>
      <c r="G40" s="49">
        <f>G14</f>
        <v>-183560</v>
      </c>
    </row>
    <row r="41" spans="2:7" x14ac:dyDescent="0.2">
      <c r="B41" s="4">
        <v>12</v>
      </c>
      <c r="C41" s="48" t="s">
        <v>49</v>
      </c>
      <c r="D41" s="48"/>
      <c r="E41" s="48"/>
      <c r="F41" s="48"/>
      <c r="G41" s="50">
        <f>G32</f>
        <v>141806</v>
      </c>
    </row>
    <row r="42" spans="2:7" x14ac:dyDescent="0.2">
      <c r="B42" s="4"/>
      <c r="C42" s="48"/>
      <c r="D42" s="48"/>
      <c r="E42" s="48"/>
      <c r="F42" s="48"/>
      <c r="G42" s="49"/>
    </row>
    <row r="43" spans="2:7" ht="15" thickBot="1" x14ac:dyDescent="0.25">
      <c r="B43" s="4">
        <v>13</v>
      </c>
      <c r="C43" s="48" t="s">
        <v>50</v>
      </c>
      <c r="D43" s="48"/>
      <c r="E43" s="48"/>
      <c r="F43" s="48"/>
      <c r="G43" s="51">
        <f>G40+G41</f>
        <v>-41754</v>
      </c>
    </row>
    <row r="44" spans="2:7" ht="15" thickTop="1" x14ac:dyDescent="0.2">
      <c r="B44" s="4"/>
      <c r="C44" s="48"/>
      <c r="D44" s="48"/>
      <c r="E44" s="48"/>
      <c r="F44" s="48"/>
      <c r="G44" s="49"/>
    </row>
    <row r="45" spans="2:7" x14ac:dyDescent="0.2">
      <c r="B45" s="4">
        <v>14</v>
      </c>
      <c r="C45" s="48" t="s">
        <v>51</v>
      </c>
      <c r="D45" s="48"/>
      <c r="E45" s="48"/>
      <c r="F45" s="48"/>
      <c r="G45" s="49">
        <f>G34</f>
        <v>-157332.82000000007</v>
      </c>
    </row>
    <row r="46" spans="2:7" x14ac:dyDescent="0.2">
      <c r="B46" s="4"/>
      <c r="C46" s="48"/>
      <c r="D46" s="48"/>
      <c r="E46" s="48"/>
      <c r="F46" s="48"/>
      <c r="G46" s="49"/>
    </row>
    <row r="47" spans="2:7" x14ac:dyDescent="0.2">
      <c r="B47" s="4">
        <v>15</v>
      </c>
      <c r="C47" s="48" t="s">
        <v>52</v>
      </c>
      <c r="D47" s="48"/>
      <c r="E47" s="48"/>
      <c r="F47" s="48"/>
      <c r="G47" s="50">
        <f>SUM(F15:F20)</f>
        <v>-115578.82000000007</v>
      </c>
    </row>
    <row r="48" spans="2:7" x14ac:dyDescent="0.2">
      <c r="B48" s="4"/>
      <c r="C48" s="48"/>
      <c r="D48" s="48"/>
      <c r="E48" s="48"/>
      <c r="F48" s="48"/>
      <c r="G48" s="49"/>
    </row>
    <row r="49" spans="2:7" ht="15" thickBot="1" x14ac:dyDescent="0.25">
      <c r="B49" s="4">
        <v>16</v>
      </c>
      <c r="C49" s="48" t="s">
        <v>53</v>
      </c>
      <c r="D49" s="48"/>
      <c r="E49" s="48"/>
      <c r="F49" s="48"/>
      <c r="G49" s="51">
        <f>G45-G47</f>
        <v>-41754</v>
      </c>
    </row>
    <row r="50" spans="2:7" ht="15" thickTop="1" x14ac:dyDescent="0.2">
      <c r="B50" s="33"/>
      <c r="C50" s="52"/>
      <c r="D50" s="52"/>
      <c r="E50" s="52"/>
      <c r="F50" s="52"/>
      <c r="G50" s="53"/>
    </row>
    <row r="52" spans="2:7" x14ac:dyDescent="0.2">
      <c r="B52" t="s">
        <v>54</v>
      </c>
    </row>
    <row r="53" spans="2:7" x14ac:dyDescent="0.2">
      <c r="B53" s="39"/>
      <c r="C53" s="1"/>
      <c r="D53" s="2" t="s">
        <v>55</v>
      </c>
      <c r="E53" s="2" t="s">
        <v>55</v>
      </c>
      <c r="F53" s="35"/>
    </row>
    <row r="54" spans="2:7" x14ac:dyDescent="0.2">
      <c r="B54" s="39"/>
      <c r="C54" s="5" t="s">
        <v>11</v>
      </c>
      <c r="D54" s="5" t="s">
        <v>56</v>
      </c>
      <c r="E54" s="5" t="s">
        <v>57</v>
      </c>
      <c r="F54" s="35"/>
    </row>
    <row r="55" spans="2:7" x14ac:dyDescent="0.2">
      <c r="C55" s="13">
        <v>43101</v>
      </c>
      <c r="D55" s="14">
        <v>-6959</v>
      </c>
      <c r="E55" s="14">
        <v>0</v>
      </c>
      <c r="F55" s="20"/>
    </row>
    <row r="56" spans="2:7" x14ac:dyDescent="0.2">
      <c r="C56" s="17">
        <v>43132</v>
      </c>
      <c r="D56" s="18">
        <v>-6959</v>
      </c>
      <c r="E56" s="18">
        <v>0</v>
      </c>
      <c r="F56" s="20"/>
    </row>
    <row r="57" spans="2:7" x14ac:dyDescent="0.2">
      <c r="C57" s="17">
        <v>43160</v>
      </c>
      <c r="D57" s="18">
        <v>-6959</v>
      </c>
      <c r="E57" s="18">
        <v>0</v>
      </c>
      <c r="F57" s="20"/>
    </row>
    <row r="58" spans="2:7" x14ac:dyDescent="0.2">
      <c r="C58" s="17">
        <v>43191</v>
      </c>
      <c r="D58" s="18">
        <v>-6959</v>
      </c>
      <c r="E58" s="18">
        <v>0</v>
      </c>
      <c r="F58" s="20"/>
    </row>
    <row r="59" spans="2:7" x14ac:dyDescent="0.2">
      <c r="C59" s="17">
        <v>43221</v>
      </c>
      <c r="D59" s="18">
        <v>-6959</v>
      </c>
      <c r="E59" s="18">
        <v>0</v>
      </c>
      <c r="F59" s="20"/>
    </row>
    <row r="60" spans="2:7" x14ac:dyDescent="0.2">
      <c r="C60" s="26">
        <v>43252</v>
      </c>
      <c r="D60" s="27">
        <f>-41754-SUM(D55:D59)</f>
        <v>-6959</v>
      </c>
      <c r="E60" s="27">
        <v>0</v>
      </c>
      <c r="F60" s="20"/>
    </row>
    <row r="61" spans="2:7" x14ac:dyDescent="0.2">
      <c r="C61" s="54" t="s">
        <v>58</v>
      </c>
      <c r="D61" s="42">
        <f>SUM(D55:D60)</f>
        <v>-41754</v>
      </c>
      <c r="E61" s="42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87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89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36452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-205728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178319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9043</v>
      </c>
    </row>
    <row r="16" spans="2:7" x14ac:dyDescent="0.2">
      <c r="B16" s="4">
        <v>2</v>
      </c>
      <c r="C16" s="13">
        <v>43101</v>
      </c>
      <c r="D16" s="14">
        <f>1718963-1899</f>
        <v>1717064</v>
      </c>
      <c r="E16" s="15">
        <v>1795516.41</v>
      </c>
      <c r="F16" s="16">
        <f t="shared" ref="F16:F23" si="0">D16-E16</f>
        <v>-78452.409999999916</v>
      </c>
      <c r="G16" s="12">
        <f t="shared" ref="G16:G23" si="1">G15+F16</f>
        <v>-69409.409999999916</v>
      </c>
    </row>
    <row r="17" spans="2:7" x14ac:dyDescent="0.2">
      <c r="B17" s="4">
        <v>3</v>
      </c>
      <c r="C17" s="17">
        <v>43132</v>
      </c>
      <c r="D17" s="18">
        <f>810023-1250</f>
        <v>808773</v>
      </c>
      <c r="E17" s="19">
        <v>1377894.16</v>
      </c>
      <c r="F17" s="20">
        <f t="shared" si="0"/>
        <v>-569121.15999999992</v>
      </c>
      <c r="G17" s="21">
        <f t="shared" si="1"/>
        <v>-638530.56999999983</v>
      </c>
    </row>
    <row r="18" spans="2:7" x14ac:dyDescent="0.2">
      <c r="B18" s="4">
        <v>4</v>
      </c>
      <c r="C18" s="17">
        <v>43160</v>
      </c>
      <c r="D18" s="18">
        <f>511802-832</f>
        <v>510970</v>
      </c>
      <c r="E18" s="19">
        <v>681712.26</v>
      </c>
      <c r="F18" s="20">
        <f t="shared" si="0"/>
        <v>-170742.26</v>
      </c>
      <c r="G18" s="21">
        <f t="shared" si="1"/>
        <v>-809272.82999999984</v>
      </c>
    </row>
    <row r="19" spans="2:7" x14ac:dyDescent="0.2">
      <c r="B19" s="4">
        <v>5</v>
      </c>
      <c r="C19" s="17">
        <v>43191</v>
      </c>
      <c r="D19" s="18">
        <f>793627-1532</f>
        <v>792095</v>
      </c>
      <c r="E19" s="19">
        <v>498350.77</v>
      </c>
      <c r="F19" s="20">
        <f t="shared" si="0"/>
        <v>293744.23</v>
      </c>
      <c r="G19" s="21">
        <f t="shared" si="1"/>
        <v>-515528.59999999986</v>
      </c>
    </row>
    <row r="20" spans="2:7" x14ac:dyDescent="0.2">
      <c r="B20" s="4">
        <v>6</v>
      </c>
      <c r="C20" s="17">
        <v>43221</v>
      </c>
      <c r="D20" s="18">
        <f>838999-1629</f>
        <v>837370</v>
      </c>
      <c r="E20" s="19">
        <v>744468.09</v>
      </c>
      <c r="F20" s="20">
        <f t="shared" si="0"/>
        <v>92901.910000000033</v>
      </c>
      <c r="G20" s="21">
        <f t="shared" si="1"/>
        <v>-422626.68999999983</v>
      </c>
    </row>
    <row r="21" spans="2:7" x14ac:dyDescent="0.2">
      <c r="B21" s="4">
        <v>7</v>
      </c>
      <c r="C21" s="17">
        <v>43252</v>
      </c>
      <c r="D21" s="18">
        <f>1032496-1773</f>
        <v>1030723</v>
      </c>
      <c r="E21" s="19">
        <v>899401.15</v>
      </c>
      <c r="F21" s="22">
        <f t="shared" si="0"/>
        <v>131321.84999999998</v>
      </c>
      <c r="G21" s="23">
        <f t="shared" si="1"/>
        <v>-291304.83999999985</v>
      </c>
    </row>
    <row r="22" spans="2:7" x14ac:dyDescent="0.2">
      <c r="B22" s="24" t="s">
        <v>23</v>
      </c>
      <c r="C22" s="13">
        <v>43282</v>
      </c>
      <c r="D22" s="14">
        <f>993609-1740</f>
        <v>991869</v>
      </c>
      <c r="E22" s="15">
        <v>1055960.1299999999</v>
      </c>
      <c r="F22" s="16">
        <f t="shared" si="0"/>
        <v>-64091.129999999888</v>
      </c>
      <c r="G22" s="12">
        <f t="shared" si="1"/>
        <v>-355395.96999999974</v>
      </c>
    </row>
    <row r="23" spans="2:7" x14ac:dyDescent="0.2">
      <c r="B23" s="25" t="s">
        <v>24</v>
      </c>
      <c r="C23" s="26">
        <v>43313</v>
      </c>
      <c r="D23" s="27">
        <f>864932-1576</f>
        <v>863356</v>
      </c>
      <c r="E23" s="28">
        <v>1077895.83</v>
      </c>
      <c r="F23" s="22">
        <f t="shared" si="0"/>
        <v>-214539.83000000007</v>
      </c>
      <c r="G23" s="23">
        <f t="shared" si="1"/>
        <v>-569935.79999999981</v>
      </c>
    </row>
    <row r="24" spans="2:7" x14ac:dyDescent="0.2">
      <c r="B24" s="5"/>
      <c r="C24" s="29" t="s">
        <v>25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-36452</v>
      </c>
      <c r="E31" s="12">
        <f>D63</f>
        <v>36452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205728</v>
      </c>
      <c r="E32" s="21">
        <f>E63</f>
        <v>-171440</v>
      </c>
      <c r="F32" s="3"/>
      <c r="G32" s="21">
        <f>D32+E32</f>
        <v>34288</v>
      </c>
    </row>
    <row r="33" spans="2:7" x14ac:dyDescent="0.2">
      <c r="B33" s="35" t="s">
        <v>43</v>
      </c>
      <c r="C33" s="33" t="s">
        <v>42</v>
      </c>
      <c r="D33" s="23">
        <f>-G14</f>
        <v>-178319</v>
      </c>
      <c r="E33" s="23">
        <f>F63</f>
        <v>0</v>
      </c>
      <c r="F33" s="33"/>
      <c r="G33" s="23">
        <f>D33+E33</f>
        <v>-178319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-144031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-435335.83999999985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-72555.973333333313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9043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-144031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107">
        <f>G42+G43</f>
        <v>-134988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-435335.83999999985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108">
        <f>SUM(F16:F21)</f>
        <v>-300347.83999999985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90</v>
      </c>
      <c r="D51" s="48"/>
      <c r="E51" s="48"/>
      <c r="F51" s="48"/>
      <c r="G51" s="107">
        <f>G47-G49</f>
        <v>-134988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36452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-34288</v>
      </c>
      <c r="F58" s="21">
        <v>0</v>
      </c>
    </row>
    <row r="59" spans="2:7" x14ac:dyDescent="0.2">
      <c r="C59" s="17">
        <v>43160</v>
      </c>
      <c r="D59" s="18">
        <v>0</v>
      </c>
      <c r="E59" s="18">
        <v>-34288</v>
      </c>
      <c r="F59" s="21">
        <v>0</v>
      </c>
    </row>
    <row r="60" spans="2:7" x14ac:dyDescent="0.2">
      <c r="C60" s="17">
        <v>43191</v>
      </c>
      <c r="D60" s="18">
        <v>0</v>
      </c>
      <c r="E60" s="18">
        <v>-34288</v>
      </c>
      <c r="F60" s="21">
        <v>0</v>
      </c>
    </row>
    <row r="61" spans="2:7" x14ac:dyDescent="0.2">
      <c r="C61" s="17">
        <v>43221</v>
      </c>
      <c r="D61" s="18">
        <v>0</v>
      </c>
      <c r="E61" s="18">
        <v>-34288</v>
      </c>
      <c r="F61" s="21">
        <v>0</v>
      </c>
    </row>
    <row r="62" spans="2:7" x14ac:dyDescent="0.2">
      <c r="C62" s="26">
        <v>43252</v>
      </c>
      <c r="D62" s="27">
        <v>0</v>
      </c>
      <c r="E62" s="27">
        <v>-34288</v>
      </c>
      <c r="F62" s="23">
        <v>0</v>
      </c>
    </row>
    <row r="63" spans="2:7" x14ac:dyDescent="0.2">
      <c r="C63" s="54" t="s">
        <v>58</v>
      </c>
      <c r="D63" s="42">
        <f>SUM(D57:D62)</f>
        <v>36452</v>
      </c>
      <c r="E63" s="42">
        <f>SUM(E57:E62)</f>
        <v>-171440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workbookViewId="0">
      <selection activeCell="A3" sqref="A3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91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18</v>
      </c>
      <c r="D12" s="8"/>
      <c r="E12" s="8"/>
      <c r="F12" s="9"/>
      <c r="G12" s="10">
        <v>10013</v>
      </c>
    </row>
    <row r="13" spans="2:7" x14ac:dyDescent="0.2">
      <c r="B13" s="4" t="s">
        <v>19</v>
      </c>
      <c r="C13" s="8" t="s">
        <v>20</v>
      </c>
      <c r="D13" s="8"/>
      <c r="E13" s="8"/>
      <c r="F13" s="9"/>
      <c r="G13" s="10">
        <v>-9341</v>
      </c>
    </row>
    <row r="14" spans="2:7" x14ac:dyDescent="0.2">
      <c r="B14" s="5" t="s">
        <v>21</v>
      </c>
      <c r="C14" s="8" t="s">
        <v>22</v>
      </c>
      <c r="D14" s="8"/>
      <c r="E14" s="8"/>
      <c r="F14" s="11"/>
      <c r="G14" s="12">
        <f>G12+G13</f>
        <v>672</v>
      </c>
    </row>
    <row r="15" spans="2:7" x14ac:dyDescent="0.2">
      <c r="B15" s="4">
        <v>2</v>
      </c>
      <c r="C15" s="13">
        <v>43101</v>
      </c>
      <c r="D15" s="14">
        <f>574731-230</f>
        <v>574501</v>
      </c>
      <c r="E15" s="15">
        <v>556357</v>
      </c>
      <c r="F15" s="16">
        <f t="shared" ref="F15:F22" si="0">D15-E15</f>
        <v>18144</v>
      </c>
      <c r="G15" s="12">
        <f t="shared" ref="G15:G22" si="1">G14+F15</f>
        <v>18816</v>
      </c>
    </row>
    <row r="16" spans="2:7" x14ac:dyDescent="0.2">
      <c r="B16" s="4">
        <v>3</v>
      </c>
      <c r="C16" s="17">
        <v>43132</v>
      </c>
      <c r="D16" s="18">
        <f>625213-212</f>
        <v>625001</v>
      </c>
      <c r="E16" s="19">
        <v>624159</v>
      </c>
      <c r="F16" s="20">
        <f t="shared" si="0"/>
        <v>842</v>
      </c>
      <c r="G16" s="21">
        <f t="shared" si="1"/>
        <v>19658</v>
      </c>
    </row>
    <row r="17" spans="2:7" x14ac:dyDescent="0.2">
      <c r="B17" s="4">
        <v>4</v>
      </c>
      <c r="C17" s="17">
        <v>43160</v>
      </c>
      <c r="D17" s="18">
        <f>311893-139</f>
        <v>311754</v>
      </c>
      <c r="E17" s="19">
        <v>289279</v>
      </c>
      <c r="F17" s="20">
        <f t="shared" si="0"/>
        <v>22475</v>
      </c>
      <c r="G17" s="21">
        <f t="shared" si="1"/>
        <v>42133</v>
      </c>
    </row>
    <row r="18" spans="2:7" x14ac:dyDescent="0.2">
      <c r="B18" s="4">
        <v>5</v>
      </c>
      <c r="C18" s="17">
        <v>43191</v>
      </c>
      <c r="D18" s="18">
        <f>196432-94</f>
        <v>196338</v>
      </c>
      <c r="E18" s="19">
        <v>226566</v>
      </c>
      <c r="F18" s="20">
        <f t="shared" si="0"/>
        <v>-30228</v>
      </c>
      <c r="G18" s="21">
        <f t="shared" si="1"/>
        <v>11905</v>
      </c>
    </row>
    <row r="19" spans="2:7" x14ac:dyDescent="0.2">
      <c r="B19" s="4">
        <v>6</v>
      </c>
      <c r="C19" s="17">
        <v>43221</v>
      </c>
      <c r="D19" s="18">
        <f>302121-173</f>
        <v>301948</v>
      </c>
      <c r="E19" s="19">
        <v>316052</v>
      </c>
      <c r="F19" s="20">
        <f t="shared" si="0"/>
        <v>-14104</v>
      </c>
      <c r="G19" s="21">
        <f t="shared" si="1"/>
        <v>-2199</v>
      </c>
    </row>
    <row r="20" spans="2:7" x14ac:dyDescent="0.2">
      <c r="B20" s="4">
        <v>7</v>
      </c>
      <c r="C20" s="17">
        <v>43252</v>
      </c>
      <c r="D20" s="18">
        <f>332787-186</f>
        <v>332601</v>
      </c>
      <c r="E20" s="19">
        <v>344628</v>
      </c>
      <c r="F20" s="22">
        <f t="shared" si="0"/>
        <v>-12027</v>
      </c>
      <c r="G20" s="23">
        <f t="shared" si="1"/>
        <v>-14226</v>
      </c>
    </row>
    <row r="21" spans="2:7" x14ac:dyDescent="0.2">
      <c r="B21" s="24" t="s">
        <v>23</v>
      </c>
      <c r="C21" s="13">
        <v>43282</v>
      </c>
      <c r="D21" s="14">
        <f>412146-203</f>
        <v>411943</v>
      </c>
      <c r="E21" s="15">
        <v>417578</v>
      </c>
      <c r="F21" s="16">
        <f t="shared" si="0"/>
        <v>-5635</v>
      </c>
      <c r="G21" s="12">
        <f t="shared" si="1"/>
        <v>-19861</v>
      </c>
    </row>
    <row r="22" spans="2:7" x14ac:dyDescent="0.2">
      <c r="B22" s="25" t="s">
        <v>24</v>
      </c>
      <c r="C22" s="26">
        <v>43313</v>
      </c>
      <c r="D22" s="27">
        <f>400353-200</f>
        <v>400153</v>
      </c>
      <c r="E22" s="28">
        <v>447899</v>
      </c>
      <c r="F22" s="22">
        <f t="shared" si="0"/>
        <v>-47746</v>
      </c>
      <c r="G22" s="23">
        <f t="shared" si="1"/>
        <v>-67607</v>
      </c>
    </row>
    <row r="23" spans="2:7" x14ac:dyDescent="0.2">
      <c r="B23" s="5"/>
      <c r="C23" s="29" t="s">
        <v>25</v>
      </c>
      <c r="D23" s="30"/>
      <c r="E23" s="30"/>
      <c r="F23" s="30"/>
      <c r="G23" s="31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26</v>
      </c>
      <c r="E25" s="4" t="s">
        <v>27</v>
      </c>
      <c r="F25" s="3"/>
      <c r="G25" s="21"/>
    </row>
    <row r="26" spans="2:7" x14ac:dyDescent="0.2">
      <c r="B26" s="4">
        <v>8</v>
      </c>
      <c r="C26" s="3"/>
      <c r="D26" s="4" t="s">
        <v>28</v>
      </c>
      <c r="E26" s="4" t="s">
        <v>29</v>
      </c>
      <c r="F26" s="3"/>
      <c r="G26" s="32" t="s">
        <v>26</v>
      </c>
    </row>
    <row r="27" spans="2:7" x14ac:dyDescent="0.2">
      <c r="B27" s="4"/>
      <c r="C27" s="3"/>
      <c r="D27" s="4" t="s">
        <v>30</v>
      </c>
      <c r="E27" s="4" t="s">
        <v>31</v>
      </c>
      <c r="F27" s="3"/>
      <c r="G27" s="32" t="s">
        <v>32</v>
      </c>
    </row>
    <row r="28" spans="2:7" x14ac:dyDescent="0.2">
      <c r="B28" s="4"/>
      <c r="C28" s="3"/>
      <c r="D28" s="4" t="s">
        <v>33</v>
      </c>
      <c r="E28" s="4" t="s">
        <v>34</v>
      </c>
      <c r="F28" s="3"/>
      <c r="G28" s="32" t="s">
        <v>35</v>
      </c>
    </row>
    <row r="29" spans="2:7" x14ac:dyDescent="0.2">
      <c r="B29" s="5"/>
      <c r="C29" s="3"/>
      <c r="D29" s="4" t="s">
        <v>36</v>
      </c>
      <c r="E29" s="4" t="s">
        <v>37</v>
      </c>
      <c r="F29" s="3"/>
      <c r="G29" s="32" t="s">
        <v>38</v>
      </c>
    </row>
    <row r="30" spans="2:7" x14ac:dyDescent="0.2">
      <c r="B30" s="24" t="s">
        <v>39</v>
      </c>
      <c r="C30" s="1" t="s">
        <v>40</v>
      </c>
      <c r="D30" s="12">
        <f>-G12</f>
        <v>-10013</v>
      </c>
      <c r="E30" s="12">
        <f>D61</f>
        <v>10013</v>
      </c>
      <c r="F30" s="1"/>
      <c r="G30" s="12">
        <f>D30+E30</f>
        <v>0</v>
      </c>
    </row>
    <row r="31" spans="2:7" x14ac:dyDescent="0.2">
      <c r="B31" s="35" t="s">
        <v>41</v>
      </c>
      <c r="C31" s="3" t="s">
        <v>42</v>
      </c>
      <c r="D31" s="21">
        <f>-G13</f>
        <v>9341</v>
      </c>
      <c r="E31" s="21">
        <f>E61</f>
        <v>0</v>
      </c>
      <c r="F31" s="3"/>
      <c r="G31" s="21">
        <f>D31+E31</f>
        <v>9341</v>
      </c>
    </row>
    <row r="32" spans="2:7" x14ac:dyDescent="0.2">
      <c r="B32" s="5" t="s">
        <v>43</v>
      </c>
      <c r="C32" s="82"/>
      <c r="D32" s="83"/>
      <c r="E32" s="83"/>
      <c r="F32" s="84" t="s">
        <v>44</v>
      </c>
      <c r="G32" s="42">
        <f>G30+G31</f>
        <v>9341</v>
      </c>
    </row>
    <row r="33" spans="2:7" x14ac:dyDescent="0.2">
      <c r="B33" s="39"/>
      <c r="G33" s="40"/>
    </row>
    <row r="34" spans="2:7" x14ac:dyDescent="0.2">
      <c r="B34" s="6">
        <v>9</v>
      </c>
      <c r="C34" s="43" t="s">
        <v>45</v>
      </c>
      <c r="D34" s="8"/>
      <c r="E34" s="8"/>
      <c r="F34" s="9"/>
      <c r="G34" s="42">
        <f>G20+G32</f>
        <v>-4885</v>
      </c>
    </row>
    <row r="35" spans="2:7" x14ac:dyDescent="0.2">
      <c r="B35" s="39"/>
      <c r="G35" s="40"/>
    </row>
    <row r="36" spans="2:7" x14ac:dyDescent="0.2">
      <c r="B36" s="6">
        <v>10</v>
      </c>
      <c r="C36" s="43" t="s">
        <v>46</v>
      </c>
      <c r="D36" s="8"/>
      <c r="E36" s="8"/>
      <c r="F36" s="9"/>
      <c r="G36" s="42">
        <f>G34/6</f>
        <v>-814.16666666666663</v>
      </c>
    </row>
    <row r="38" spans="2:7" x14ac:dyDescent="0.2">
      <c r="B38" s="1"/>
      <c r="C38" s="44" t="s">
        <v>47</v>
      </c>
      <c r="D38" s="45"/>
      <c r="E38" s="45"/>
      <c r="F38" s="45"/>
      <c r="G38" s="46"/>
    </row>
    <row r="39" spans="2:7" x14ac:dyDescent="0.2">
      <c r="B39" s="1"/>
      <c r="C39" s="47"/>
      <c r="D39" s="47"/>
      <c r="E39" s="47"/>
      <c r="F39" s="47"/>
      <c r="G39" s="11"/>
    </row>
    <row r="40" spans="2:7" x14ac:dyDescent="0.2">
      <c r="B40" s="4">
        <v>11</v>
      </c>
      <c r="C40" s="48" t="s">
        <v>48</v>
      </c>
      <c r="D40" s="48"/>
      <c r="E40" s="48"/>
      <c r="F40" s="48"/>
      <c r="G40" s="49">
        <f>G14</f>
        <v>672</v>
      </c>
    </row>
    <row r="41" spans="2:7" x14ac:dyDescent="0.2">
      <c r="B41" s="4">
        <v>12</v>
      </c>
      <c r="C41" s="48" t="s">
        <v>49</v>
      </c>
      <c r="D41" s="48"/>
      <c r="E41" s="48"/>
      <c r="F41" s="48"/>
      <c r="G41" s="50">
        <f>G32</f>
        <v>9341</v>
      </c>
    </row>
    <row r="42" spans="2:7" x14ac:dyDescent="0.2">
      <c r="B42" s="4"/>
      <c r="C42" s="48"/>
      <c r="D42" s="48"/>
      <c r="E42" s="48"/>
      <c r="F42" s="48"/>
      <c r="G42" s="49"/>
    </row>
    <row r="43" spans="2:7" ht="15" thickBot="1" x14ac:dyDescent="0.25">
      <c r="B43" s="4">
        <v>13</v>
      </c>
      <c r="C43" s="48" t="s">
        <v>50</v>
      </c>
      <c r="D43" s="48"/>
      <c r="E43" s="48"/>
      <c r="F43" s="48"/>
      <c r="G43" s="51">
        <f>G40+G41</f>
        <v>10013</v>
      </c>
    </row>
    <row r="44" spans="2:7" ht="15" thickTop="1" x14ac:dyDescent="0.2">
      <c r="B44" s="4"/>
      <c r="C44" s="48"/>
      <c r="D44" s="48"/>
      <c r="E44" s="48"/>
      <c r="F44" s="48"/>
      <c r="G44" s="49"/>
    </row>
    <row r="45" spans="2:7" x14ac:dyDescent="0.2">
      <c r="B45" s="4">
        <v>14</v>
      </c>
      <c r="C45" s="48" t="s">
        <v>51</v>
      </c>
      <c r="D45" s="48"/>
      <c r="E45" s="48"/>
      <c r="F45" s="48"/>
      <c r="G45" s="49">
        <f>G34</f>
        <v>-4885</v>
      </c>
    </row>
    <row r="46" spans="2:7" x14ac:dyDescent="0.2">
      <c r="B46" s="4"/>
      <c r="C46" s="48"/>
      <c r="D46" s="48"/>
      <c r="E46" s="48"/>
      <c r="F46" s="48"/>
      <c r="G46" s="49"/>
    </row>
    <row r="47" spans="2:7" x14ac:dyDescent="0.2">
      <c r="B47" s="4">
        <v>15</v>
      </c>
      <c r="C47" s="48" t="s">
        <v>52</v>
      </c>
      <c r="D47" s="48"/>
      <c r="E47" s="48"/>
      <c r="F47" s="48"/>
      <c r="G47" s="50">
        <f>SUM(F15:F20)</f>
        <v>-14898</v>
      </c>
    </row>
    <row r="48" spans="2:7" x14ac:dyDescent="0.2">
      <c r="B48" s="4"/>
      <c r="C48" s="48"/>
      <c r="D48" s="48"/>
      <c r="E48" s="48"/>
      <c r="F48" s="48"/>
      <c r="G48" s="49"/>
    </row>
    <row r="49" spans="2:7" ht="15" thickBot="1" x14ac:dyDescent="0.25">
      <c r="B49" s="4">
        <v>16</v>
      </c>
      <c r="C49" s="48" t="s">
        <v>53</v>
      </c>
      <c r="D49" s="48"/>
      <c r="E49" s="48"/>
      <c r="F49" s="48"/>
      <c r="G49" s="51">
        <f>G45-G47</f>
        <v>10013</v>
      </c>
    </row>
    <row r="50" spans="2:7" ht="15" thickTop="1" x14ac:dyDescent="0.2">
      <c r="B50" s="33"/>
      <c r="C50" s="52"/>
      <c r="D50" s="52"/>
      <c r="E50" s="52"/>
      <c r="F50" s="52"/>
      <c r="G50" s="53"/>
    </row>
    <row r="52" spans="2:7" x14ac:dyDescent="0.2">
      <c r="B52" t="s">
        <v>54</v>
      </c>
    </row>
    <row r="53" spans="2:7" x14ac:dyDescent="0.2">
      <c r="B53" s="39"/>
      <c r="C53" s="1"/>
      <c r="D53" s="2" t="s">
        <v>55</v>
      </c>
      <c r="E53" s="2" t="s">
        <v>55</v>
      </c>
      <c r="F53" s="35"/>
    </row>
    <row r="54" spans="2:7" x14ac:dyDescent="0.2">
      <c r="B54" s="39"/>
      <c r="C54" s="5" t="s">
        <v>11</v>
      </c>
      <c r="D54" s="5" t="s">
        <v>56</v>
      </c>
      <c r="E54" s="5" t="s">
        <v>57</v>
      </c>
      <c r="F54" s="35"/>
    </row>
    <row r="55" spans="2:7" x14ac:dyDescent="0.2">
      <c r="C55" s="13">
        <v>43101</v>
      </c>
      <c r="D55" s="14">
        <v>1669</v>
      </c>
      <c r="E55" s="14">
        <v>0</v>
      </c>
      <c r="F55" s="20"/>
    </row>
    <row r="56" spans="2:7" x14ac:dyDescent="0.2">
      <c r="C56" s="17">
        <v>43132</v>
      </c>
      <c r="D56" s="18">
        <v>1669</v>
      </c>
      <c r="E56" s="18">
        <v>0</v>
      </c>
      <c r="F56" s="20"/>
    </row>
    <row r="57" spans="2:7" x14ac:dyDescent="0.2">
      <c r="C57" s="17">
        <v>43160</v>
      </c>
      <c r="D57" s="18">
        <v>1669</v>
      </c>
      <c r="E57" s="18">
        <v>0</v>
      </c>
      <c r="F57" s="20"/>
    </row>
    <row r="58" spans="2:7" x14ac:dyDescent="0.2">
      <c r="C58" s="17">
        <v>43191</v>
      </c>
      <c r="D58" s="18">
        <v>1669</v>
      </c>
      <c r="E58" s="18">
        <v>0</v>
      </c>
      <c r="F58" s="20"/>
    </row>
    <row r="59" spans="2:7" x14ac:dyDescent="0.2">
      <c r="C59" s="17">
        <v>43221</v>
      </c>
      <c r="D59" s="18">
        <v>1669</v>
      </c>
      <c r="E59" s="18">
        <v>0</v>
      </c>
      <c r="F59" s="20"/>
    </row>
    <row r="60" spans="2:7" x14ac:dyDescent="0.2">
      <c r="C60" s="26">
        <v>43252</v>
      </c>
      <c r="D60" s="27">
        <f>10013-SUM(D55:D59)</f>
        <v>1668</v>
      </c>
      <c r="E60" s="27">
        <v>0</v>
      </c>
      <c r="F60" s="20"/>
    </row>
    <row r="61" spans="2:7" x14ac:dyDescent="0.2">
      <c r="C61" s="54" t="s">
        <v>58</v>
      </c>
      <c r="D61" s="42">
        <f>SUM(D55:D60)</f>
        <v>10013</v>
      </c>
      <c r="E61" s="42">
        <f>SUM(E55:E60)</f>
        <v>0</v>
      </c>
      <c r="F61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59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40495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-188871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120527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-27849</v>
      </c>
    </row>
    <row r="16" spans="2:7" x14ac:dyDescent="0.2">
      <c r="B16" s="4">
        <v>2</v>
      </c>
      <c r="C16" s="13">
        <v>43101</v>
      </c>
      <c r="D16" s="14">
        <f>1623445-3530</f>
        <v>1619915</v>
      </c>
      <c r="E16" s="15">
        <v>1709872.26</v>
      </c>
      <c r="F16" s="16">
        <f t="shared" ref="F16:F23" si="0">D16-E16</f>
        <v>-89957.260000000009</v>
      </c>
      <c r="G16" s="12">
        <f t="shared" ref="G16:G23" si="1">G15+F16</f>
        <v>-117806.26000000001</v>
      </c>
    </row>
    <row r="17" spans="2:7" x14ac:dyDescent="0.2">
      <c r="B17" s="4">
        <v>3</v>
      </c>
      <c r="C17" s="17">
        <v>43132</v>
      </c>
      <c r="D17" s="18">
        <f>821047-2316</f>
        <v>818731</v>
      </c>
      <c r="E17" s="19">
        <v>1371243.84</v>
      </c>
      <c r="F17" s="20">
        <f t="shared" si="0"/>
        <v>-552512.84000000008</v>
      </c>
      <c r="G17" s="21">
        <f t="shared" si="1"/>
        <v>-670319.10000000009</v>
      </c>
    </row>
    <row r="18" spans="2:7" x14ac:dyDescent="0.2">
      <c r="B18" s="4">
        <v>4</v>
      </c>
      <c r="C18" s="17">
        <v>43160</v>
      </c>
      <c r="D18" s="18">
        <f>518431-1563</f>
        <v>516868</v>
      </c>
      <c r="E18" s="19">
        <v>697474.9</v>
      </c>
      <c r="F18" s="20">
        <f t="shared" si="0"/>
        <v>-180606.90000000002</v>
      </c>
      <c r="G18" s="21">
        <f t="shared" si="1"/>
        <v>-850926.00000000012</v>
      </c>
    </row>
    <row r="19" spans="2:7" x14ac:dyDescent="0.2">
      <c r="B19" s="4">
        <v>5</v>
      </c>
      <c r="C19" s="17">
        <v>43191</v>
      </c>
      <c r="D19" s="18">
        <f>805807-2898</f>
        <v>802909</v>
      </c>
      <c r="E19" s="19">
        <v>529479.81000000006</v>
      </c>
      <c r="F19" s="20">
        <f t="shared" si="0"/>
        <v>273429.18999999994</v>
      </c>
      <c r="G19" s="21">
        <f t="shared" si="1"/>
        <v>-577496.81000000017</v>
      </c>
    </row>
    <row r="20" spans="2:7" x14ac:dyDescent="0.2">
      <c r="B20" s="4">
        <v>6</v>
      </c>
      <c r="C20" s="17">
        <v>43221</v>
      </c>
      <c r="D20" s="18">
        <f>904791-3106</f>
        <v>901685</v>
      </c>
      <c r="E20" s="19">
        <v>767924.22</v>
      </c>
      <c r="F20" s="20">
        <f t="shared" si="0"/>
        <v>133760.78000000003</v>
      </c>
      <c r="G20" s="21">
        <f t="shared" si="1"/>
        <v>-443736.03000000014</v>
      </c>
    </row>
    <row r="21" spans="2:7" x14ac:dyDescent="0.2">
      <c r="B21" s="4">
        <v>7</v>
      </c>
      <c r="C21" s="17">
        <v>43252</v>
      </c>
      <c r="D21" s="18">
        <f>1099712-3395</f>
        <v>1096317</v>
      </c>
      <c r="E21" s="19">
        <v>937167.15</v>
      </c>
      <c r="F21" s="22">
        <f t="shared" si="0"/>
        <v>159149.84999999998</v>
      </c>
      <c r="G21" s="23">
        <f t="shared" si="1"/>
        <v>-284586.18000000017</v>
      </c>
    </row>
    <row r="22" spans="2:7" x14ac:dyDescent="0.2">
      <c r="B22" s="24" t="s">
        <v>23</v>
      </c>
      <c r="C22" s="13">
        <v>43282</v>
      </c>
      <c r="D22" s="14">
        <f>1017484-3339</f>
        <v>1014145</v>
      </c>
      <c r="E22" s="15">
        <v>1003409.14</v>
      </c>
      <c r="F22" s="16">
        <f t="shared" si="0"/>
        <v>10735.859999999986</v>
      </c>
      <c r="G22" s="12">
        <f t="shared" si="1"/>
        <v>-273850.32000000018</v>
      </c>
    </row>
    <row r="23" spans="2:7" x14ac:dyDescent="0.2">
      <c r="B23" s="25" t="s">
        <v>24</v>
      </c>
      <c r="C23" s="26">
        <v>43313</v>
      </c>
      <c r="D23" s="27">
        <f>925100-3033</f>
        <v>922067</v>
      </c>
      <c r="E23" s="28">
        <v>1099764.2</v>
      </c>
      <c r="F23" s="22">
        <f t="shared" si="0"/>
        <v>-177697.19999999995</v>
      </c>
      <c r="G23" s="23">
        <f t="shared" si="1"/>
        <v>-451547.52000000014</v>
      </c>
    </row>
    <row r="24" spans="2:7" x14ac:dyDescent="0.2">
      <c r="B24" s="5"/>
      <c r="C24" s="29" t="s">
        <v>25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-40495</v>
      </c>
      <c r="E31" s="12">
        <f>D63</f>
        <v>40495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188871</v>
      </c>
      <c r="E32" s="21">
        <f>E63</f>
        <v>-157395</v>
      </c>
      <c r="F32" s="3"/>
      <c r="G32" s="21">
        <f>D32+E32</f>
        <v>31476</v>
      </c>
    </row>
    <row r="33" spans="2:7" x14ac:dyDescent="0.2">
      <c r="B33" s="35" t="s">
        <v>43</v>
      </c>
      <c r="C33" s="33" t="s">
        <v>42</v>
      </c>
      <c r="D33" s="23">
        <f>-G14</f>
        <v>-120527</v>
      </c>
      <c r="E33" s="23">
        <f>F63</f>
        <v>0</v>
      </c>
      <c r="F33" s="33"/>
      <c r="G33" s="23">
        <f>D33+E33</f>
        <v>-120527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-89051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-373637.18000000017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-62272.863333333364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-27849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-89051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-116900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-373637.18000000017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-256737.18000000017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-116900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40495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-31479</v>
      </c>
      <c r="F58" s="21">
        <v>0</v>
      </c>
    </row>
    <row r="59" spans="2:7" x14ac:dyDescent="0.2">
      <c r="C59" s="17">
        <v>43160</v>
      </c>
      <c r="D59" s="18">
        <v>0</v>
      </c>
      <c r="E59" s="18">
        <v>-31479</v>
      </c>
      <c r="F59" s="21">
        <v>0</v>
      </c>
    </row>
    <row r="60" spans="2:7" x14ac:dyDescent="0.2">
      <c r="C60" s="17">
        <v>43191</v>
      </c>
      <c r="D60" s="18">
        <v>0</v>
      </c>
      <c r="E60" s="18">
        <v>-31479</v>
      </c>
      <c r="F60" s="21">
        <v>0</v>
      </c>
    </row>
    <row r="61" spans="2:7" x14ac:dyDescent="0.2">
      <c r="C61" s="17">
        <v>43221</v>
      </c>
      <c r="D61" s="18">
        <v>0</v>
      </c>
      <c r="E61" s="18">
        <v>-31479</v>
      </c>
      <c r="F61" s="21">
        <v>0</v>
      </c>
    </row>
    <row r="62" spans="2:7" x14ac:dyDescent="0.2">
      <c r="C62" s="26">
        <v>43252</v>
      </c>
      <c r="D62" s="27">
        <v>0</v>
      </c>
      <c r="E62" s="27">
        <v>-31479</v>
      </c>
      <c r="F62" s="23">
        <v>0</v>
      </c>
    </row>
    <row r="63" spans="2:7" x14ac:dyDescent="0.2">
      <c r="C63" s="54" t="s">
        <v>58</v>
      </c>
      <c r="D63" s="42">
        <f>SUM(D57:D62)</f>
        <v>40495</v>
      </c>
      <c r="E63" s="42">
        <f>SUM(E57:E62)</f>
        <v>-157395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C39" sqref="C39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67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-7780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61310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-53312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218</v>
      </c>
    </row>
    <row r="16" spans="2:7" x14ac:dyDescent="0.2">
      <c r="B16" s="4">
        <v>2</v>
      </c>
      <c r="C16" s="13">
        <v>43101</v>
      </c>
      <c r="D16" s="14">
        <f>534747-303</f>
        <v>534444</v>
      </c>
      <c r="E16" s="15">
        <v>548856.59</v>
      </c>
      <c r="F16" s="16">
        <f t="shared" ref="F16:F23" si="0">D16-E16</f>
        <v>-14412.589999999967</v>
      </c>
      <c r="G16" s="12">
        <f t="shared" ref="G16:G23" si="1">G15+F16</f>
        <v>-14194.589999999967</v>
      </c>
    </row>
    <row r="17" spans="2:7" x14ac:dyDescent="0.2">
      <c r="B17" s="4">
        <v>3</v>
      </c>
      <c r="C17" s="17">
        <v>43132</v>
      </c>
      <c r="D17" s="18">
        <f>583751-278</f>
        <v>583473</v>
      </c>
      <c r="E17" s="19">
        <v>547287.18999999994</v>
      </c>
      <c r="F17" s="20">
        <f t="shared" si="0"/>
        <v>36185.810000000056</v>
      </c>
      <c r="G17" s="21">
        <f t="shared" si="1"/>
        <v>21991.220000000088</v>
      </c>
    </row>
    <row r="18" spans="2:7" x14ac:dyDescent="0.2">
      <c r="B18" s="4">
        <v>4</v>
      </c>
      <c r="C18" s="17">
        <v>43160</v>
      </c>
      <c r="D18" s="18">
        <f>278520-183</f>
        <v>278337</v>
      </c>
      <c r="E18" s="19">
        <v>264169.24</v>
      </c>
      <c r="F18" s="20">
        <f t="shared" si="0"/>
        <v>14167.760000000009</v>
      </c>
      <c r="G18" s="21">
        <f t="shared" si="1"/>
        <v>36158.980000000098</v>
      </c>
    </row>
    <row r="19" spans="2:7" x14ac:dyDescent="0.2">
      <c r="B19" s="4">
        <v>5</v>
      </c>
      <c r="C19" s="17">
        <v>43191</v>
      </c>
      <c r="D19" s="18">
        <f>178427-123</f>
        <v>178304</v>
      </c>
      <c r="E19" s="19">
        <v>202907.94</v>
      </c>
      <c r="F19" s="20">
        <f t="shared" si="0"/>
        <v>-24603.940000000002</v>
      </c>
      <c r="G19" s="21">
        <f t="shared" si="1"/>
        <v>11555.040000000095</v>
      </c>
    </row>
    <row r="20" spans="2:7" x14ac:dyDescent="0.2">
      <c r="B20" s="4">
        <v>6</v>
      </c>
      <c r="C20" s="17">
        <v>43221</v>
      </c>
      <c r="D20" s="18">
        <f>274615-228</f>
        <v>274387</v>
      </c>
      <c r="E20" s="19">
        <v>280367.83</v>
      </c>
      <c r="F20" s="20">
        <f t="shared" si="0"/>
        <v>-5980.8300000000163</v>
      </c>
      <c r="G20" s="21">
        <f t="shared" si="1"/>
        <v>5574.2100000000792</v>
      </c>
    </row>
    <row r="21" spans="2:7" x14ac:dyDescent="0.2">
      <c r="B21" s="4">
        <v>7</v>
      </c>
      <c r="C21" s="17">
        <v>43252</v>
      </c>
      <c r="D21" s="18">
        <f>293423-244</f>
        <v>293179</v>
      </c>
      <c r="E21" s="19">
        <v>315599.5</v>
      </c>
      <c r="F21" s="22">
        <f t="shared" si="0"/>
        <v>-22420.5</v>
      </c>
      <c r="G21" s="23">
        <f t="shared" si="1"/>
        <v>-16846.289999999921</v>
      </c>
    </row>
    <row r="22" spans="2:7" x14ac:dyDescent="0.2">
      <c r="B22" s="24" t="s">
        <v>23</v>
      </c>
      <c r="C22" s="13">
        <v>43282</v>
      </c>
      <c r="D22" s="14">
        <f>352713-267</f>
        <v>352446</v>
      </c>
      <c r="E22" s="15">
        <f>383057.05</f>
        <v>383057.05</v>
      </c>
      <c r="F22" s="16">
        <f t="shared" si="0"/>
        <v>-30611.049999999988</v>
      </c>
      <c r="G22" s="12">
        <f t="shared" si="1"/>
        <v>-47457.339999999909</v>
      </c>
    </row>
    <row r="23" spans="2:7" x14ac:dyDescent="0.2">
      <c r="B23" s="25" t="s">
        <v>24</v>
      </c>
      <c r="C23" s="26">
        <v>43313</v>
      </c>
      <c r="D23" s="27">
        <f>344806-262</f>
        <v>344544</v>
      </c>
      <c r="E23" s="28">
        <v>366063.89</v>
      </c>
      <c r="F23" s="22">
        <f t="shared" si="0"/>
        <v>-21519.890000000014</v>
      </c>
      <c r="G23" s="23">
        <f t="shared" si="1"/>
        <v>-68977.229999999923</v>
      </c>
    </row>
    <row r="24" spans="2:7" x14ac:dyDescent="0.2">
      <c r="B24" s="5"/>
      <c r="C24" s="29" t="s">
        <v>25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7780</v>
      </c>
      <c r="E31" s="12">
        <f>D63</f>
        <v>-7780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-61310</v>
      </c>
      <c r="E32" s="21">
        <f>E63</f>
        <v>51090</v>
      </c>
      <c r="F32" s="3"/>
      <c r="G32" s="21">
        <f>D32+E32</f>
        <v>-10220</v>
      </c>
    </row>
    <row r="33" spans="2:7" x14ac:dyDescent="0.2">
      <c r="B33" s="35" t="s">
        <v>43</v>
      </c>
      <c r="C33" s="33" t="s">
        <v>42</v>
      </c>
      <c r="D33" s="23">
        <f>-G14</f>
        <v>53312</v>
      </c>
      <c r="E33" s="23">
        <f>F63</f>
        <v>0</v>
      </c>
      <c r="F33" s="33"/>
      <c r="G33" s="23">
        <f>D33+E33</f>
        <v>53312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43092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26245.710000000079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4374.2850000000135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218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43092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43310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26245.710000000079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-17064.289999999921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43310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-7780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10218</v>
      </c>
      <c r="F58" s="21">
        <v>0</v>
      </c>
    </row>
    <row r="59" spans="2:7" x14ac:dyDescent="0.2">
      <c r="C59" s="17">
        <v>43160</v>
      </c>
      <c r="D59" s="18">
        <v>0</v>
      </c>
      <c r="E59" s="18">
        <v>10218</v>
      </c>
      <c r="F59" s="21">
        <v>0</v>
      </c>
    </row>
    <row r="60" spans="2:7" x14ac:dyDescent="0.2">
      <c r="C60" s="17">
        <v>43191</v>
      </c>
      <c r="D60" s="18">
        <v>0</v>
      </c>
      <c r="E60" s="18">
        <v>10218</v>
      </c>
      <c r="F60" s="21">
        <v>0</v>
      </c>
    </row>
    <row r="61" spans="2:7" x14ac:dyDescent="0.2">
      <c r="C61" s="17">
        <v>43221</v>
      </c>
      <c r="D61" s="18">
        <v>0</v>
      </c>
      <c r="E61" s="18">
        <v>10218</v>
      </c>
      <c r="F61" s="21">
        <v>0</v>
      </c>
    </row>
    <row r="62" spans="2:7" x14ac:dyDescent="0.2">
      <c r="C62" s="26">
        <v>43252</v>
      </c>
      <c r="D62" s="27">
        <v>0</v>
      </c>
      <c r="E62" s="27">
        <v>10218</v>
      </c>
      <c r="F62" s="23">
        <v>0</v>
      </c>
    </row>
    <row r="63" spans="2:7" x14ac:dyDescent="0.2">
      <c r="C63" s="54" t="s">
        <v>58</v>
      </c>
      <c r="D63" s="42">
        <f>SUM(D57:D62)</f>
        <v>-7780</v>
      </c>
      <c r="E63" s="42">
        <f>SUM(E57:E62)</f>
        <v>51090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4" sqref="A4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68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2760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-105030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-67078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-169348</v>
      </c>
    </row>
    <row r="16" spans="2:7" x14ac:dyDescent="0.2">
      <c r="B16" s="4">
        <v>2</v>
      </c>
      <c r="C16" s="13">
        <v>43101</v>
      </c>
      <c r="D16" s="14">
        <f>583261-468</f>
        <v>582793</v>
      </c>
      <c r="E16" s="15">
        <v>596861.05000000005</v>
      </c>
      <c r="F16" s="16">
        <f t="shared" ref="F16:F23" si="0">D16-E16</f>
        <v>-14068.050000000047</v>
      </c>
      <c r="G16" s="12">
        <f t="shared" ref="G16:G23" si="1">G15+F16</f>
        <v>-183416.05000000005</v>
      </c>
    </row>
    <row r="17" spans="2:7" x14ac:dyDescent="0.2">
      <c r="B17" s="4">
        <v>3</v>
      </c>
      <c r="C17" s="17">
        <v>43132</v>
      </c>
      <c r="D17" s="18">
        <f>269907-308</f>
        <v>269599</v>
      </c>
      <c r="E17" s="19">
        <v>416280.19</v>
      </c>
      <c r="F17" s="20">
        <f t="shared" si="0"/>
        <v>-146681.19</v>
      </c>
      <c r="G17" s="21">
        <f t="shared" si="1"/>
        <v>-330097.24000000005</v>
      </c>
    </row>
    <row r="18" spans="2:7" x14ac:dyDescent="0.2">
      <c r="B18" s="4">
        <v>4</v>
      </c>
      <c r="C18" s="17">
        <v>43160</v>
      </c>
      <c r="D18" s="18">
        <f>175534-208</f>
        <v>175326</v>
      </c>
      <c r="E18" s="19">
        <f>261961.76</f>
        <v>261961.76</v>
      </c>
      <c r="F18" s="20">
        <f t="shared" si="0"/>
        <v>-86635.760000000009</v>
      </c>
      <c r="G18" s="21">
        <f t="shared" si="1"/>
        <v>-416733.00000000006</v>
      </c>
    </row>
    <row r="19" spans="2:7" x14ac:dyDescent="0.2">
      <c r="B19" s="4">
        <v>5</v>
      </c>
      <c r="C19" s="17">
        <v>43191</v>
      </c>
      <c r="D19" s="18">
        <f>272557-386</f>
        <v>272171</v>
      </c>
      <c r="E19" s="19">
        <v>136947.71</v>
      </c>
      <c r="F19" s="20">
        <f t="shared" si="0"/>
        <v>135223.29</v>
      </c>
      <c r="G19" s="21">
        <f t="shared" si="1"/>
        <v>-281509.71000000008</v>
      </c>
    </row>
    <row r="20" spans="2:7" x14ac:dyDescent="0.2">
      <c r="B20" s="4">
        <v>6</v>
      </c>
      <c r="C20" s="17">
        <v>43221</v>
      </c>
      <c r="D20" s="18">
        <f>290729-414</f>
        <v>290315</v>
      </c>
      <c r="E20" s="19">
        <v>263110.64</v>
      </c>
      <c r="F20" s="20">
        <f t="shared" si="0"/>
        <v>27204.359999999986</v>
      </c>
      <c r="G20" s="21">
        <f t="shared" si="1"/>
        <v>-254305.35000000009</v>
      </c>
    </row>
    <row r="21" spans="2:7" x14ac:dyDescent="0.2">
      <c r="B21" s="4">
        <v>7</v>
      </c>
      <c r="C21" s="17">
        <v>43252</v>
      </c>
      <c r="D21" s="18">
        <f>356883-452</f>
        <v>356431</v>
      </c>
      <c r="E21" s="19">
        <v>300124.19</v>
      </c>
      <c r="F21" s="22">
        <f t="shared" si="0"/>
        <v>56306.81</v>
      </c>
      <c r="G21" s="23">
        <f t="shared" si="1"/>
        <v>-197998.5400000001</v>
      </c>
    </row>
    <row r="22" spans="2:7" x14ac:dyDescent="0.2">
      <c r="B22" s="24" t="s">
        <v>23</v>
      </c>
      <c r="C22" s="13">
        <v>43282</v>
      </c>
      <c r="D22" s="14">
        <f>340747-445</f>
        <v>340302</v>
      </c>
      <c r="E22" s="15">
        <v>358682.57</v>
      </c>
      <c r="F22" s="16">
        <f t="shared" si="0"/>
        <v>-18380.570000000007</v>
      </c>
      <c r="G22" s="12">
        <f t="shared" si="1"/>
        <v>-216379.1100000001</v>
      </c>
    </row>
    <row r="23" spans="2:7" x14ac:dyDescent="0.2">
      <c r="B23" s="25" t="s">
        <v>24</v>
      </c>
      <c r="C23" s="26">
        <v>43313</v>
      </c>
      <c r="D23" s="27">
        <f>295468-404</f>
        <v>295064</v>
      </c>
      <c r="E23" s="28">
        <v>333431.37</v>
      </c>
      <c r="F23" s="22">
        <f t="shared" si="0"/>
        <v>-38367.369999999995</v>
      </c>
      <c r="G23" s="23">
        <f t="shared" si="1"/>
        <v>-254746.4800000001</v>
      </c>
    </row>
    <row r="24" spans="2:7" x14ac:dyDescent="0.2">
      <c r="B24" s="5"/>
      <c r="C24" s="29" t="s">
        <v>25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-2760</v>
      </c>
      <c r="E31" s="12">
        <f>D63</f>
        <v>2760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105030</v>
      </c>
      <c r="E32" s="21">
        <f>E63</f>
        <v>-87525</v>
      </c>
      <c r="F32" s="3"/>
      <c r="G32" s="21">
        <f>D32+E32</f>
        <v>17505</v>
      </c>
    </row>
    <row r="33" spans="2:7" x14ac:dyDescent="0.2">
      <c r="B33" s="35" t="s">
        <v>43</v>
      </c>
      <c r="C33" s="33" t="s">
        <v>42</v>
      </c>
      <c r="D33" s="23">
        <f>-G14</f>
        <v>67078</v>
      </c>
      <c r="E33" s="23">
        <f>F63</f>
        <v>0</v>
      </c>
      <c r="F33" s="33"/>
      <c r="G33" s="23">
        <f>D33+E33</f>
        <v>67078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84583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-113415.5400000001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-18902.590000000015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-169348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84583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-84765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-113415.5400000001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-28650.540000000066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-84765.000000000029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2760</v>
      </c>
      <c r="E57" s="12">
        <v>0</v>
      </c>
      <c r="F57" s="12">
        <v>0</v>
      </c>
    </row>
    <row r="58" spans="2:7" x14ac:dyDescent="0.2">
      <c r="C58" s="17">
        <v>43132</v>
      </c>
      <c r="D58" s="18">
        <v>0</v>
      </c>
      <c r="E58" s="21">
        <v>-17505</v>
      </c>
      <c r="F58" s="21">
        <v>0</v>
      </c>
    </row>
    <row r="59" spans="2:7" x14ac:dyDescent="0.2">
      <c r="C59" s="17">
        <v>43160</v>
      </c>
      <c r="D59" s="18">
        <v>0</v>
      </c>
      <c r="E59" s="21">
        <v>-17505</v>
      </c>
      <c r="F59" s="21">
        <v>0</v>
      </c>
    </row>
    <row r="60" spans="2:7" x14ac:dyDescent="0.2">
      <c r="C60" s="17">
        <v>43191</v>
      </c>
      <c r="D60" s="18">
        <v>0</v>
      </c>
      <c r="E60" s="21">
        <v>-17505</v>
      </c>
      <c r="F60" s="21">
        <v>0</v>
      </c>
    </row>
    <row r="61" spans="2:7" x14ac:dyDescent="0.2">
      <c r="C61" s="17">
        <v>43221</v>
      </c>
      <c r="D61" s="18">
        <v>0</v>
      </c>
      <c r="E61" s="21">
        <v>-17505</v>
      </c>
      <c r="F61" s="21">
        <v>0</v>
      </c>
    </row>
    <row r="62" spans="2:7" x14ac:dyDescent="0.2">
      <c r="C62" s="17">
        <v>43252</v>
      </c>
      <c r="D62" s="27">
        <v>0</v>
      </c>
      <c r="E62" s="23">
        <v>-17505</v>
      </c>
      <c r="F62" s="23">
        <v>0</v>
      </c>
    </row>
    <row r="63" spans="2:7" x14ac:dyDescent="0.2">
      <c r="C63" s="54" t="s">
        <v>58</v>
      </c>
      <c r="D63" s="42">
        <f>SUM(D57:D62)</f>
        <v>2760</v>
      </c>
      <c r="E63" s="42">
        <f>SUM(E57:E62)</f>
        <v>-87525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C29" sqref="C29"/>
    </sheetView>
  </sheetViews>
  <sheetFormatPr defaultColWidth="12.625" defaultRowHeight="14.25" x14ac:dyDescent="0.2"/>
  <cols>
    <col min="1" max="1" width="12.625" customWidth="1"/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69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8963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-18185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-92910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-102132</v>
      </c>
    </row>
    <row r="16" spans="2:7" x14ac:dyDescent="0.2">
      <c r="B16" s="4">
        <v>2</v>
      </c>
      <c r="C16" s="13">
        <v>43101</v>
      </c>
      <c r="D16" s="14">
        <f>598568-841</f>
        <v>597727</v>
      </c>
      <c r="E16" s="15">
        <v>625734.72</v>
      </c>
      <c r="F16" s="16">
        <f t="shared" ref="F16:F23" si="0">D16-E16</f>
        <v>-28007.719999999972</v>
      </c>
      <c r="G16" s="12">
        <f t="shared" ref="G16:G23" si="1">G15+F16</f>
        <v>-130139.71999999997</v>
      </c>
    </row>
    <row r="17" spans="2:7" x14ac:dyDescent="0.2">
      <c r="B17" s="4">
        <v>3</v>
      </c>
      <c r="C17" s="17">
        <v>43132</v>
      </c>
      <c r="D17" s="18">
        <f>306755-554</f>
        <v>306201</v>
      </c>
      <c r="E17" s="19">
        <v>498298.64</v>
      </c>
      <c r="F17" s="20">
        <f t="shared" si="0"/>
        <v>-192097.64</v>
      </c>
      <c r="G17" s="21">
        <f t="shared" si="1"/>
        <v>-322237.36</v>
      </c>
    </row>
    <row r="18" spans="2:7" x14ac:dyDescent="0.2">
      <c r="B18" s="4">
        <v>4</v>
      </c>
      <c r="C18" s="17">
        <v>43160</v>
      </c>
      <c r="D18" s="18">
        <f>188985-374</f>
        <v>188611</v>
      </c>
      <c r="E18" s="19">
        <v>275316.32</v>
      </c>
      <c r="F18" s="20">
        <f t="shared" si="0"/>
        <v>-86705.32</v>
      </c>
      <c r="G18" s="21">
        <f t="shared" si="1"/>
        <v>-408942.68</v>
      </c>
    </row>
    <row r="19" spans="2:7" x14ac:dyDescent="0.2">
      <c r="B19" s="4">
        <v>5</v>
      </c>
      <c r="C19" s="17">
        <v>43191</v>
      </c>
      <c r="D19" s="18">
        <f>302963-694</f>
        <v>302269</v>
      </c>
      <c r="E19" s="19">
        <v>195608.63</v>
      </c>
      <c r="F19" s="20">
        <f t="shared" si="0"/>
        <v>106660.37</v>
      </c>
      <c r="G19" s="21">
        <f t="shared" si="1"/>
        <v>-302282.31</v>
      </c>
    </row>
    <row r="20" spans="2:7" x14ac:dyDescent="0.2">
      <c r="B20" s="4">
        <v>6</v>
      </c>
      <c r="C20" s="17">
        <v>43221</v>
      </c>
      <c r="D20" s="18">
        <f>355972-744</f>
        <v>355228</v>
      </c>
      <c r="E20" s="19">
        <v>304465.7</v>
      </c>
      <c r="F20" s="20">
        <f t="shared" si="0"/>
        <v>50762.299999999988</v>
      </c>
      <c r="G20" s="21">
        <f t="shared" si="1"/>
        <v>-251520.01</v>
      </c>
    </row>
    <row r="21" spans="2:7" x14ac:dyDescent="0.2">
      <c r="B21" s="4">
        <v>7</v>
      </c>
      <c r="C21" s="17">
        <v>43252</v>
      </c>
      <c r="D21" s="18">
        <f>441103-813</f>
        <v>440290</v>
      </c>
      <c r="E21" s="19">
        <v>390277.71</v>
      </c>
      <c r="F21" s="22">
        <f t="shared" si="0"/>
        <v>50012.289999999979</v>
      </c>
      <c r="G21" s="23">
        <f t="shared" si="1"/>
        <v>-201507.72000000003</v>
      </c>
    </row>
    <row r="22" spans="2:7" x14ac:dyDescent="0.2">
      <c r="B22" s="24" t="s">
        <v>23</v>
      </c>
      <c r="C22" s="13">
        <v>43282</v>
      </c>
      <c r="D22" s="14">
        <f>413520-800</f>
        <v>412720</v>
      </c>
      <c r="E22" s="15">
        <v>440299.05</v>
      </c>
      <c r="F22" s="16">
        <f t="shared" si="0"/>
        <v>-27579.049999999988</v>
      </c>
      <c r="G22" s="12">
        <f t="shared" si="1"/>
        <v>-229086.77000000002</v>
      </c>
    </row>
    <row r="23" spans="2:7" x14ac:dyDescent="0.2">
      <c r="B23" s="25" t="s">
        <v>24</v>
      </c>
      <c r="C23" s="26">
        <v>43313</v>
      </c>
      <c r="D23" s="27">
        <f>366821-727</f>
        <v>366094</v>
      </c>
      <c r="E23" s="28">
        <v>438462.51</v>
      </c>
      <c r="F23" s="22">
        <f t="shared" si="0"/>
        <v>-72368.510000000009</v>
      </c>
      <c r="G23" s="23">
        <f t="shared" si="1"/>
        <v>-301455.28000000003</v>
      </c>
    </row>
    <row r="24" spans="2:7" x14ac:dyDescent="0.2">
      <c r="B24" s="5"/>
      <c r="C24" s="29" t="s">
        <v>25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-8963</v>
      </c>
      <c r="E31" s="12">
        <f>D63</f>
        <v>8963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18185</v>
      </c>
      <c r="E32" s="21">
        <f>E63</f>
        <v>-15155</v>
      </c>
      <c r="F32" s="3"/>
      <c r="G32" s="21">
        <f>D32+E32</f>
        <v>3030</v>
      </c>
    </row>
    <row r="33" spans="2:7" x14ac:dyDescent="0.2">
      <c r="B33" s="35" t="s">
        <v>43</v>
      </c>
      <c r="C33" s="33" t="s">
        <v>42</v>
      </c>
      <c r="D33" s="23">
        <f>-G14</f>
        <v>92910</v>
      </c>
      <c r="E33" s="23">
        <f>F63</f>
        <v>0</v>
      </c>
      <c r="F33" s="33"/>
      <c r="G33" s="23">
        <f>D33+E33</f>
        <v>92910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95940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-105567.72000000003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65</v>
      </c>
      <c r="D38" s="8"/>
      <c r="E38" s="8"/>
      <c r="F38" s="9"/>
      <c r="G38" s="42">
        <f>G36/6</f>
        <v>-17594.620000000006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-102132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95940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-6192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-105567.72000000003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-99375.72000000003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-6192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  <c r="G55" s="35"/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  <c r="G56" s="35"/>
    </row>
    <row r="57" spans="2:7" x14ac:dyDescent="0.2">
      <c r="C57" s="13">
        <v>43101</v>
      </c>
      <c r="D57" s="14">
        <v>8963</v>
      </c>
      <c r="E57" s="14">
        <v>0</v>
      </c>
      <c r="F57" s="12">
        <v>0</v>
      </c>
      <c r="G57" s="20"/>
    </row>
    <row r="58" spans="2:7" x14ac:dyDescent="0.2">
      <c r="C58" s="17">
        <v>43132</v>
      </c>
      <c r="D58" s="18">
        <v>0</v>
      </c>
      <c r="E58" s="18">
        <v>-3031</v>
      </c>
      <c r="F58" s="21">
        <v>0</v>
      </c>
      <c r="G58" s="20"/>
    </row>
    <row r="59" spans="2:7" x14ac:dyDescent="0.2">
      <c r="C59" s="17">
        <v>43160</v>
      </c>
      <c r="D59" s="18">
        <v>0</v>
      </c>
      <c r="E59" s="18">
        <v>-3031</v>
      </c>
      <c r="F59" s="21">
        <v>0</v>
      </c>
      <c r="G59" s="20"/>
    </row>
    <row r="60" spans="2:7" x14ac:dyDescent="0.2">
      <c r="C60" s="17">
        <v>43191</v>
      </c>
      <c r="D60" s="18">
        <v>0</v>
      </c>
      <c r="E60" s="18">
        <v>-3031</v>
      </c>
      <c r="F60" s="21">
        <v>0</v>
      </c>
      <c r="G60" s="20"/>
    </row>
    <row r="61" spans="2:7" x14ac:dyDescent="0.2">
      <c r="C61" s="17">
        <v>43221</v>
      </c>
      <c r="D61" s="18">
        <v>0</v>
      </c>
      <c r="E61" s="18">
        <v>-3031</v>
      </c>
      <c r="F61" s="21">
        <v>0</v>
      </c>
      <c r="G61" s="20"/>
    </row>
    <row r="62" spans="2:7" x14ac:dyDescent="0.2">
      <c r="C62" s="26">
        <v>43252</v>
      </c>
      <c r="D62" s="18">
        <v>0</v>
      </c>
      <c r="E62" s="27">
        <v>-3031</v>
      </c>
      <c r="F62" s="23">
        <v>0</v>
      </c>
      <c r="G62" s="20"/>
    </row>
    <row r="63" spans="2:7" x14ac:dyDescent="0.2">
      <c r="C63" s="54" t="s">
        <v>58</v>
      </c>
      <c r="D63" s="42">
        <f>SUM(D57:D62)</f>
        <v>8963</v>
      </c>
      <c r="E63" s="42">
        <f>SUM(E57:E62)</f>
        <v>-15155</v>
      </c>
      <c r="F63" s="42">
        <f>SUM(F57:F62)</f>
        <v>0</v>
      </c>
      <c r="G63" s="20"/>
    </row>
  </sheetData>
  <mergeCells count="2">
    <mergeCell ref="B3:G4"/>
    <mergeCell ref="C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4" sqref="A4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70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5" spans="2:7" x14ac:dyDescent="0.2">
      <c r="D5" s="55" t="s">
        <v>71</v>
      </c>
      <c r="E5" s="55" t="s">
        <v>71</v>
      </c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13003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191141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-311223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-107079</v>
      </c>
    </row>
    <row r="16" spans="2:7" x14ac:dyDescent="0.2">
      <c r="B16" s="4">
        <v>2</v>
      </c>
      <c r="C16" s="13">
        <v>43101</v>
      </c>
      <c r="D16" s="14">
        <f>561009-471</f>
        <v>560538</v>
      </c>
      <c r="E16" s="15">
        <f>560119.1+493</f>
        <v>560612.1</v>
      </c>
      <c r="F16" s="16">
        <f t="shared" ref="F16:F23" si="0">D16-E16</f>
        <v>-74.099999999976717</v>
      </c>
      <c r="G16" s="12">
        <f t="shared" ref="G16:G23" si="1">G15+F16</f>
        <v>-107153.09999999998</v>
      </c>
    </row>
    <row r="17" spans="2:7" x14ac:dyDescent="0.2">
      <c r="B17" s="4">
        <v>3</v>
      </c>
      <c r="C17" s="17">
        <v>43132</v>
      </c>
      <c r="D17" s="18">
        <f>279269-310</f>
        <v>278959</v>
      </c>
      <c r="E17" s="19">
        <f>366357.93+547</f>
        <v>366904.93</v>
      </c>
      <c r="F17" s="20">
        <f t="shared" si="0"/>
        <v>-87945.93</v>
      </c>
      <c r="G17" s="21">
        <f t="shared" si="1"/>
        <v>-195099.02999999997</v>
      </c>
    </row>
    <row r="18" spans="2:7" x14ac:dyDescent="0.2">
      <c r="B18" s="4">
        <v>4</v>
      </c>
      <c r="C18" s="17">
        <v>43160</v>
      </c>
      <c r="D18" s="18">
        <f>179461-209</f>
        <v>179252</v>
      </c>
      <c r="E18" s="19">
        <f>91867.59+199</f>
        <v>92066.59</v>
      </c>
      <c r="F18" s="20">
        <f t="shared" si="0"/>
        <v>87185.41</v>
      </c>
      <c r="G18" s="21">
        <f t="shared" si="1"/>
        <v>-107913.61999999997</v>
      </c>
    </row>
    <row r="19" spans="2:7" x14ac:dyDescent="0.2">
      <c r="B19" s="4">
        <v>5</v>
      </c>
      <c r="C19" s="17">
        <v>43191</v>
      </c>
      <c r="D19" s="18">
        <f>276288-388</f>
        <v>275900</v>
      </c>
      <c r="E19" s="19">
        <f>67860.86+710</f>
        <v>68570.86</v>
      </c>
      <c r="F19" s="20">
        <f t="shared" si="0"/>
        <v>207329.14</v>
      </c>
      <c r="G19" s="21">
        <f t="shared" si="1"/>
        <v>99415.520000000048</v>
      </c>
    </row>
    <row r="20" spans="2:7" x14ac:dyDescent="0.2">
      <c r="B20" s="4">
        <v>6</v>
      </c>
      <c r="C20" s="17">
        <v>43221</v>
      </c>
      <c r="D20" s="18">
        <f>291835-416</f>
        <v>291419</v>
      </c>
      <c r="E20" s="19">
        <f>452464.84+544</f>
        <v>453008.84</v>
      </c>
      <c r="F20" s="20">
        <f t="shared" si="0"/>
        <v>-161589.84000000003</v>
      </c>
      <c r="G20" s="21">
        <f t="shared" si="1"/>
        <v>-62174.319999999978</v>
      </c>
    </row>
    <row r="21" spans="2:7" x14ac:dyDescent="0.2">
      <c r="B21" s="4">
        <v>7</v>
      </c>
      <c r="C21" s="17">
        <v>43252</v>
      </c>
      <c r="D21" s="18">
        <f>353324-454</f>
        <v>352870</v>
      </c>
      <c r="E21" s="19">
        <f>376035.86+498</f>
        <v>376533.86</v>
      </c>
      <c r="F21" s="22">
        <f t="shared" si="0"/>
        <v>-23663.859999999986</v>
      </c>
      <c r="G21" s="23">
        <f t="shared" si="1"/>
        <v>-85838.179999999964</v>
      </c>
    </row>
    <row r="22" spans="2:7" x14ac:dyDescent="0.2">
      <c r="B22" s="24" t="s">
        <v>23</v>
      </c>
      <c r="C22" s="13">
        <v>43282</v>
      </c>
      <c r="D22" s="14">
        <f>332817-447</f>
        <v>332370</v>
      </c>
      <c r="E22" s="15">
        <f>438093.69+496</f>
        <v>438589.69</v>
      </c>
      <c r="F22" s="16">
        <f t="shared" si="0"/>
        <v>-106219.69</v>
      </c>
      <c r="G22" s="12">
        <f t="shared" si="1"/>
        <v>-192057.86999999997</v>
      </c>
    </row>
    <row r="23" spans="2:7" x14ac:dyDescent="0.2">
      <c r="B23" s="25" t="s">
        <v>24</v>
      </c>
      <c r="C23" s="26">
        <v>43313</v>
      </c>
      <c r="D23" s="27">
        <f>303603-406</f>
        <v>303197</v>
      </c>
      <c r="E23" s="28">
        <f>328251.24+527</f>
        <v>328778.23999999999</v>
      </c>
      <c r="F23" s="22">
        <f t="shared" si="0"/>
        <v>-25581.239999999991</v>
      </c>
      <c r="G23" s="23">
        <f t="shared" si="1"/>
        <v>-217639.10999999996</v>
      </c>
    </row>
    <row r="24" spans="2:7" x14ac:dyDescent="0.2">
      <c r="B24" s="5"/>
      <c r="C24" s="29" t="s">
        <v>72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-13003</v>
      </c>
      <c r="E31" s="12">
        <f>D63</f>
        <v>13003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-191141</v>
      </c>
      <c r="E32" s="21">
        <f>E63</f>
        <v>159285</v>
      </c>
      <c r="F32" s="3"/>
      <c r="G32" s="21">
        <f>D32+E32</f>
        <v>-31856</v>
      </c>
    </row>
    <row r="33" spans="2:7" x14ac:dyDescent="0.2">
      <c r="B33" s="35" t="s">
        <v>43</v>
      </c>
      <c r="C33" s="33" t="s">
        <v>42</v>
      </c>
      <c r="D33" s="23">
        <f>-G14</f>
        <v>311223</v>
      </c>
      <c r="E33" s="23">
        <f>F63</f>
        <v>0</v>
      </c>
      <c r="F33" s="33"/>
      <c r="G33" s="23">
        <f>D33+E33</f>
        <v>311223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279367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193528.82000000004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32254.803333333341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-107079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279367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172288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193528.82000000004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21240.820000000036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172288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13003</v>
      </c>
      <c r="E57" s="12">
        <v>0</v>
      </c>
      <c r="F57" s="12">
        <v>0</v>
      </c>
    </row>
    <row r="58" spans="2:7" x14ac:dyDescent="0.2">
      <c r="C58" s="17">
        <v>43132</v>
      </c>
      <c r="D58" s="18">
        <v>0</v>
      </c>
      <c r="E58" s="21">
        <v>31857</v>
      </c>
      <c r="F58" s="21">
        <v>0</v>
      </c>
    </row>
    <row r="59" spans="2:7" x14ac:dyDescent="0.2">
      <c r="C59" s="17">
        <v>43160</v>
      </c>
      <c r="D59" s="18">
        <v>0</v>
      </c>
      <c r="E59" s="21">
        <v>31857</v>
      </c>
      <c r="F59" s="21">
        <v>0</v>
      </c>
    </row>
    <row r="60" spans="2:7" x14ac:dyDescent="0.2">
      <c r="C60" s="17">
        <v>43191</v>
      </c>
      <c r="D60" s="18">
        <v>0</v>
      </c>
      <c r="E60" s="21">
        <v>31857</v>
      </c>
      <c r="F60" s="21">
        <v>0</v>
      </c>
    </row>
    <row r="61" spans="2:7" x14ac:dyDescent="0.2">
      <c r="C61" s="17">
        <v>43221</v>
      </c>
      <c r="D61" s="18">
        <v>0</v>
      </c>
      <c r="E61" s="21">
        <v>31857</v>
      </c>
      <c r="F61" s="21">
        <v>0</v>
      </c>
    </row>
    <row r="62" spans="2:7" x14ac:dyDescent="0.2">
      <c r="C62" s="26">
        <v>43252</v>
      </c>
      <c r="D62" s="27">
        <v>0</v>
      </c>
      <c r="E62" s="23">
        <v>31857</v>
      </c>
      <c r="F62" s="23">
        <v>0</v>
      </c>
    </row>
    <row r="63" spans="2:7" x14ac:dyDescent="0.2">
      <c r="C63" s="54" t="s">
        <v>58</v>
      </c>
      <c r="D63" s="42">
        <f>SUM(D57:D62)</f>
        <v>13003</v>
      </c>
      <c r="E63" s="42">
        <f>SUM(E57:E62)</f>
        <v>159285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10" sqref="A10"/>
    </sheetView>
  </sheetViews>
  <sheetFormatPr defaultColWidth="12.625" defaultRowHeight="14.25" x14ac:dyDescent="0.2"/>
  <cols>
    <col min="2" max="6" width="17.625" customWidth="1"/>
  </cols>
  <sheetData>
    <row r="1" spans="1:7" ht="15" x14ac:dyDescent="0.2">
      <c r="A1" s="56"/>
      <c r="B1" s="56"/>
      <c r="C1" s="56"/>
      <c r="D1" s="56"/>
      <c r="E1" s="56"/>
      <c r="F1" s="56"/>
      <c r="G1" s="56"/>
    </row>
    <row r="2" spans="1:7" ht="15" x14ac:dyDescent="0.2">
      <c r="A2" s="56"/>
      <c r="B2" s="56"/>
      <c r="C2" s="56"/>
      <c r="D2" s="56"/>
      <c r="E2" s="56"/>
      <c r="F2" s="56"/>
      <c r="G2" s="56"/>
    </row>
    <row r="3" spans="1:7" ht="15" x14ac:dyDescent="0.2">
      <c r="A3" s="56"/>
      <c r="B3" s="118" t="s">
        <v>73</v>
      </c>
      <c r="C3" s="119"/>
      <c r="D3" s="119"/>
      <c r="E3" s="119"/>
      <c r="F3" s="120"/>
      <c r="G3" s="56"/>
    </row>
    <row r="4" spans="1:7" ht="15" x14ac:dyDescent="0.2">
      <c r="A4" s="56"/>
      <c r="B4" s="121"/>
      <c r="C4" s="122"/>
      <c r="D4" s="122"/>
      <c r="E4" s="122"/>
      <c r="F4" s="123"/>
      <c r="G4" s="56"/>
    </row>
    <row r="5" spans="1:7" ht="15" x14ac:dyDescent="0.2">
      <c r="A5" s="56"/>
      <c r="B5" s="56"/>
      <c r="C5" s="56"/>
      <c r="D5" s="56"/>
      <c r="E5" s="56"/>
      <c r="F5" s="56"/>
      <c r="G5" s="56"/>
    </row>
    <row r="6" spans="1:7" ht="15.75" x14ac:dyDescent="0.25">
      <c r="A6" s="56"/>
      <c r="B6" s="57" t="s">
        <v>74</v>
      </c>
      <c r="C6" s="56"/>
      <c r="D6" s="56"/>
      <c r="E6" s="56"/>
      <c r="F6" s="56"/>
      <c r="G6" s="56"/>
    </row>
    <row r="7" spans="1:7" ht="15" x14ac:dyDescent="0.2">
      <c r="A7" s="56"/>
      <c r="B7" s="56"/>
      <c r="C7" s="56"/>
      <c r="D7" s="56"/>
      <c r="E7" s="56"/>
      <c r="F7" s="56"/>
      <c r="G7" s="56"/>
    </row>
    <row r="8" spans="1:7" ht="15" x14ac:dyDescent="0.2">
      <c r="A8" s="56"/>
      <c r="B8" s="58"/>
      <c r="C8" s="58"/>
      <c r="D8" s="59" t="s">
        <v>1</v>
      </c>
      <c r="E8" s="58"/>
      <c r="F8" s="58"/>
      <c r="G8" s="56"/>
    </row>
    <row r="9" spans="1:7" ht="15" x14ac:dyDescent="0.2">
      <c r="A9" s="56"/>
      <c r="B9" s="60"/>
      <c r="C9" s="61" t="s">
        <v>2</v>
      </c>
      <c r="D9" s="61" t="s">
        <v>3</v>
      </c>
      <c r="E9" s="60"/>
      <c r="F9" s="60"/>
      <c r="G9" s="56"/>
    </row>
    <row r="10" spans="1:7" ht="15" x14ac:dyDescent="0.2">
      <c r="A10" s="56"/>
      <c r="B10" s="60"/>
      <c r="C10" s="61" t="s">
        <v>4</v>
      </c>
      <c r="D10" s="61" t="s">
        <v>5</v>
      </c>
      <c r="E10" s="61" t="s">
        <v>6</v>
      </c>
      <c r="F10" s="61" t="s">
        <v>7</v>
      </c>
      <c r="G10" s="56"/>
    </row>
    <row r="11" spans="1:7" ht="15" x14ac:dyDescent="0.2">
      <c r="A11" s="56"/>
      <c r="B11" s="62"/>
      <c r="C11" s="62" t="s">
        <v>8</v>
      </c>
      <c r="D11" s="62" t="s">
        <v>8</v>
      </c>
      <c r="E11" s="62" t="s">
        <v>9</v>
      </c>
      <c r="F11" s="62" t="s">
        <v>9</v>
      </c>
      <c r="G11" s="56"/>
    </row>
    <row r="12" spans="1:7" ht="15" x14ac:dyDescent="0.2">
      <c r="A12" s="56"/>
      <c r="B12" s="63" t="s">
        <v>11</v>
      </c>
      <c r="C12" s="64" t="s">
        <v>75</v>
      </c>
      <c r="D12" s="64" t="s">
        <v>12</v>
      </c>
      <c r="E12" s="64" t="s">
        <v>13</v>
      </c>
      <c r="F12" s="64" t="s">
        <v>14</v>
      </c>
      <c r="G12" s="56"/>
    </row>
    <row r="13" spans="1:7" ht="15" x14ac:dyDescent="0.2">
      <c r="A13" s="56"/>
      <c r="B13" s="65">
        <v>43101</v>
      </c>
      <c r="C13" s="66">
        <f>168603+116963+161848+33210</f>
        <v>480624</v>
      </c>
      <c r="D13" s="67">
        <f>161848+168603+66696+50760+33210-493</f>
        <v>480624</v>
      </c>
      <c r="E13" s="68">
        <f t="shared" ref="E13:E20" si="0">C13-D13</f>
        <v>0</v>
      </c>
      <c r="F13" s="69">
        <f>E13</f>
        <v>0</v>
      </c>
      <c r="G13" s="56"/>
    </row>
    <row r="14" spans="1:7" ht="15" x14ac:dyDescent="0.2">
      <c r="A14" s="56"/>
      <c r="B14" s="70">
        <v>43132</v>
      </c>
      <c r="C14" s="66">
        <f>108968+78049+111684+22861</f>
        <v>321562</v>
      </c>
      <c r="D14" s="67">
        <f>111684+108968+43297+35299+22861-547</f>
        <v>321562</v>
      </c>
      <c r="E14" s="69">
        <f t="shared" si="0"/>
        <v>0</v>
      </c>
      <c r="F14" s="69">
        <f>F13+E14</f>
        <v>0</v>
      </c>
      <c r="G14" s="56"/>
    </row>
    <row r="15" spans="1:7" ht="15" x14ac:dyDescent="0.2">
      <c r="A15" s="56"/>
      <c r="B15" s="70">
        <v>43160</v>
      </c>
      <c r="C15" s="66">
        <f>72848+45696+73416+9992</f>
        <v>201952</v>
      </c>
      <c r="D15" s="66">
        <f>73416+72848+24041+21854+9992-199</f>
        <v>201952</v>
      </c>
      <c r="E15" s="69">
        <f t="shared" si="0"/>
        <v>0</v>
      </c>
      <c r="F15" s="69">
        <f t="shared" ref="F15:F18" si="1">F14+E15</f>
        <v>0</v>
      </c>
      <c r="G15" s="56"/>
    </row>
    <row r="16" spans="1:7" ht="15" x14ac:dyDescent="0.2">
      <c r="A16" s="56"/>
      <c r="B16" s="70">
        <v>43191</v>
      </c>
      <c r="C16" s="66">
        <f>128849+89240+128580+24344</f>
        <v>371013</v>
      </c>
      <c r="D16" s="66">
        <f>128580+128849+50462+39488+24344-710</f>
        <v>371013</v>
      </c>
      <c r="E16" s="69">
        <f t="shared" si="0"/>
        <v>0</v>
      </c>
      <c r="F16" s="69">
        <f t="shared" si="1"/>
        <v>0</v>
      </c>
      <c r="G16" s="56"/>
    </row>
    <row r="17" spans="1:7" ht="15" x14ac:dyDescent="0.2">
      <c r="A17" s="56"/>
      <c r="B17" s="70">
        <v>43221</v>
      </c>
      <c r="C17" s="66">
        <f>125876+96633+145113+33300</f>
        <v>400922</v>
      </c>
      <c r="D17" s="71">
        <f>145113+125876+53648+43529+33300-544</f>
        <v>400922</v>
      </c>
      <c r="E17" s="69">
        <f t="shared" si="0"/>
        <v>0</v>
      </c>
      <c r="F17" s="69">
        <f t="shared" si="1"/>
        <v>0</v>
      </c>
      <c r="G17" s="56"/>
    </row>
    <row r="18" spans="1:7" ht="15" x14ac:dyDescent="0.2">
      <c r="A18" s="56"/>
      <c r="B18" s="72">
        <v>43252</v>
      </c>
      <c r="C18" s="71">
        <f>138184+104831+155191+35833</f>
        <v>434039</v>
      </c>
      <c r="D18" s="73">
        <f>155191+138184+54694+50635+35833-498</f>
        <v>434039</v>
      </c>
      <c r="E18" s="74">
        <f t="shared" si="0"/>
        <v>0</v>
      </c>
      <c r="F18" s="74">
        <f t="shared" si="1"/>
        <v>0</v>
      </c>
      <c r="G18" s="56"/>
    </row>
    <row r="19" spans="1:7" ht="15" x14ac:dyDescent="0.2">
      <c r="A19" s="56"/>
      <c r="B19" s="70">
        <v>43282</v>
      </c>
      <c r="C19" s="75">
        <f>91792+92475+109649+38219</f>
        <v>332135</v>
      </c>
      <c r="D19" s="75">
        <f>109649+91792+52262+40709+38219-496</f>
        <v>332135</v>
      </c>
      <c r="E19" s="69">
        <f t="shared" si="0"/>
        <v>0</v>
      </c>
      <c r="F19" s="69">
        <f>F18+E19</f>
        <v>0</v>
      </c>
      <c r="G19" s="56"/>
    </row>
    <row r="20" spans="1:7" ht="15" x14ac:dyDescent="0.2">
      <c r="A20" s="56"/>
      <c r="B20" s="72">
        <v>43313</v>
      </c>
      <c r="C20" s="73">
        <f>35266+93066+58155+30644</f>
        <v>217131</v>
      </c>
      <c r="D20" s="73">
        <f>58155+35266+48718+44875+30644-527</f>
        <v>217131</v>
      </c>
      <c r="E20" s="74">
        <f t="shared" si="0"/>
        <v>0</v>
      </c>
      <c r="F20" s="74">
        <f>F19+E20</f>
        <v>0</v>
      </c>
      <c r="G20" s="56"/>
    </row>
    <row r="21" spans="1:7" ht="15" x14ac:dyDescent="0.2">
      <c r="A21" s="56"/>
      <c r="B21" s="76"/>
      <c r="C21" s="76"/>
      <c r="D21" s="76"/>
      <c r="E21" s="76"/>
      <c r="F21" s="76"/>
      <c r="G21" s="56"/>
    </row>
    <row r="22" spans="1:7" ht="15" x14ac:dyDescent="0.2">
      <c r="A22" s="56"/>
      <c r="B22" s="77" t="s">
        <v>76</v>
      </c>
      <c r="C22" s="78"/>
      <c r="D22" s="78"/>
      <c r="E22" s="79"/>
      <c r="F22" s="80">
        <f>F18</f>
        <v>0</v>
      </c>
      <c r="G22" s="56"/>
    </row>
    <row r="23" spans="1:7" ht="15" x14ac:dyDescent="0.2">
      <c r="A23" s="56"/>
      <c r="B23" s="76"/>
      <c r="C23" s="76"/>
      <c r="D23" s="76"/>
      <c r="E23" s="76"/>
      <c r="F23" s="81"/>
      <c r="G23" s="56"/>
    </row>
    <row r="24" spans="1:7" ht="15" x14ac:dyDescent="0.2">
      <c r="A24" s="56"/>
      <c r="B24" s="77" t="s">
        <v>77</v>
      </c>
      <c r="C24" s="78"/>
      <c r="D24" s="78"/>
      <c r="E24" s="79"/>
      <c r="F24" s="80">
        <f>F22/6</f>
        <v>0</v>
      </c>
      <c r="G24" s="56"/>
    </row>
    <row r="25" spans="1:7" ht="15" x14ac:dyDescent="0.2">
      <c r="A25" s="56"/>
      <c r="B25" s="56"/>
      <c r="C25" s="56"/>
      <c r="D25" s="56"/>
      <c r="E25" s="56"/>
      <c r="F25" s="56"/>
      <c r="G25" s="56"/>
    </row>
    <row r="26" spans="1:7" ht="15" x14ac:dyDescent="0.2">
      <c r="A26" s="56"/>
      <c r="B26" s="56"/>
      <c r="C26" s="56"/>
      <c r="D26" s="56"/>
      <c r="E26" s="56"/>
      <c r="F26" s="56"/>
      <c r="G26" s="56"/>
    </row>
    <row r="27" spans="1:7" ht="15" x14ac:dyDescent="0.2">
      <c r="A27" s="56"/>
      <c r="B27" s="56"/>
      <c r="C27" s="56"/>
      <c r="D27" s="56"/>
      <c r="E27" s="56"/>
      <c r="F27" s="56"/>
      <c r="G27" s="56"/>
    </row>
  </sheetData>
  <mergeCells count="1">
    <mergeCell ref="B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78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-3271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3904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-109734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-109101</v>
      </c>
    </row>
    <row r="16" spans="2:7" x14ac:dyDescent="0.2">
      <c r="B16" s="4">
        <v>2</v>
      </c>
      <c r="C16" s="13">
        <v>43101</v>
      </c>
      <c r="D16" s="14">
        <f>312484-328</f>
        <v>312156</v>
      </c>
      <c r="E16" s="15">
        <v>356755</v>
      </c>
      <c r="F16" s="16">
        <f t="shared" ref="F16:F23" si="0">D16-E16</f>
        <v>-44599</v>
      </c>
      <c r="G16" s="12">
        <f t="shared" ref="G16:G23" si="1">G15+F16</f>
        <v>-153700</v>
      </c>
    </row>
    <row r="17" spans="2:7" x14ac:dyDescent="0.2">
      <c r="B17" s="4">
        <v>3</v>
      </c>
      <c r="C17" s="17">
        <v>43132</v>
      </c>
      <c r="D17" s="18">
        <f>155191-215</f>
        <v>154976</v>
      </c>
      <c r="E17" s="19">
        <v>239466</v>
      </c>
      <c r="F17" s="20">
        <f t="shared" si="0"/>
        <v>-84490</v>
      </c>
      <c r="G17" s="21">
        <f t="shared" si="1"/>
        <v>-238190</v>
      </c>
    </row>
    <row r="18" spans="2:7" x14ac:dyDescent="0.2">
      <c r="B18" s="4">
        <v>4</v>
      </c>
      <c r="C18" s="17">
        <v>43160</v>
      </c>
      <c r="D18" s="18">
        <f>100084-145</f>
        <v>99939</v>
      </c>
      <c r="E18" s="19">
        <v>176404</v>
      </c>
      <c r="F18" s="20">
        <f t="shared" si="0"/>
        <v>-76465</v>
      </c>
      <c r="G18" s="21">
        <f t="shared" si="1"/>
        <v>-314655</v>
      </c>
    </row>
    <row r="19" spans="2:7" x14ac:dyDescent="0.2">
      <c r="B19" s="4">
        <v>5</v>
      </c>
      <c r="C19" s="17">
        <v>43191</v>
      </c>
      <c r="D19" s="18">
        <f>154130-270</f>
        <v>153860</v>
      </c>
      <c r="E19" s="19">
        <v>90180</v>
      </c>
      <c r="F19" s="20">
        <f t="shared" si="0"/>
        <v>63680</v>
      </c>
      <c r="G19" s="21">
        <f t="shared" si="1"/>
        <v>-250975</v>
      </c>
    </row>
    <row r="20" spans="2:7" x14ac:dyDescent="0.2">
      <c r="B20" s="4">
        <v>6</v>
      </c>
      <c r="C20" s="17">
        <v>43221</v>
      </c>
      <c r="D20" s="18">
        <f>170844-289</f>
        <v>170555</v>
      </c>
      <c r="E20" s="19">
        <v>145066</v>
      </c>
      <c r="F20" s="20">
        <f t="shared" si="0"/>
        <v>25489</v>
      </c>
      <c r="G20" s="21">
        <f t="shared" si="1"/>
        <v>-225486</v>
      </c>
    </row>
    <row r="21" spans="2:7" x14ac:dyDescent="0.2">
      <c r="B21" s="4">
        <v>7</v>
      </c>
      <c r="C21" s="17">
        <v>43252</v>
      </c>
      <c r="D21" s="18">
        <f>207755-316</f>
        <v>207439</v>
      </c>
      <c r="E21" s="19">
        <v>157182</v>
      </c>
      <c r="F21" s="22">
        <f t="shared" si="0"/>
        <v>50257</v>
      </c>
      <c r="G21" s="23">
        <f t="shared" si="1"/>
        <v>-175229</v>
      </c>
    </row>
    <row r="22" spans="2:7" x14ac:dyDescent="0.2">
      <c r="B22" s="24" t="s">
        <v>23</v>
      </c>
      <c r="C22" s="13">
        <v>43282</v>
      </c>
      <c r="D22" s="14">
        <f>203026-309</f>
        <v>202717</v>
      </c>
      <c r="E22" s="15">
        <v>209071</v>
      </c>
      <c r="F22" s="16">
        <f t="shared" si="0"/>
        <v>-6354</v>
      </c>
      <c r="G22" s="12">
        <f t="shared" si="1"/>
        <v>-181583</v>
      </c>
    </row>
    <row r="23" spans="2:7" x14ac:dyDescent="0.2">
      <c r="B23" s="25" t="s">
        <v>24</v>
      </c>
      <c r="C23" s="26">
        <v>43313</v>
      </c>
      <c r="D23" s="27">
        <f>178174-280</f>
        <v>177894</v>
      </c>
      <c r="E23" s="28">
        <v>212658</v>
      </c>
      <c r="F23" s="22">
        <f t="shared" si="0"/>
        <v>-34764</v>
      </c>
      <c r="G23" s="23">
        <f t="shared" si="1"/>
        <v>-216347</v>
      </c>
    </row>
    <row r="24" spans="2:7" x14ac:dyDescent="0.2">
      <c r="B24" s="5"/>
      <c r="C24" s="29" t="s">
        <v>72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3271</v>
      </c>
      <c r="E31" s="12">
        <f>D63</f>
        <v>-3271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-3904</v>
      </c>
      <c r="E32" s="21">
        <f>E63</f>
        <v>3255</v>
      </c>
      <c r="F32" s="3"/>
      <c r="G32" s="21">
        <f>D32+E32</f>
        <v>-649</v>
      </c>
    </row>
    <row r="33" spans="2:7" x14ac:dyDescent="0.2">
      <c r="B33" s="35" t="s">
        <v>43</v>
      </c>
      <c r="C33" s="33" t="s">
        <v>42</v>
      </c>
      <c r="D33" s="23">
        <f>-G14</f>
        <v>109734</v>
      </c>
      <c r="E33" s="23">
        <f>F63</f>
        <v>0</v>
      </c>
      <c r="F33" s="33"/>
      <c r="G33" s="23">
        <f>D33+E33</f>
        <v>109734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109085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-66144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-11024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-109101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109085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-16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-66144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-66128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-16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-3271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651</v>
      </c>
      <c r="F58" s="21">
        <v>0</v>
      </c>
    </row>
    <row r="59" spans="2:7" x14ac:dyDescent="0.2">
      <c r="C59" s="17">
        <v>43160</v>
      </c>
      <c r="D59" s="18">
        <v>0</v>
      </c>
      <c r="E59" s="18">
        <v>651</v>
      </c>
      <c r="F59" s="21">
        <v>0</v>
      </c>
    </row>
    <row r="60" spans="2:7" x14ac:dyDescent="0.2">
      <c r="C60" s="17">
        <v>43191</v>
      </c>
      <c r="D60" s="18">
        <v>0</v>
      </c>
      <c r="E60" s="18">
        <v>651</v>
      </c>
      <c r="F60" s="21">
        <v>0</v>
      </c>
    </row>
    <row r="61" spans="2:7" x14ac:dyDescent="0.2">
      <c r="C61" s="17">
        <v>43221</v>
      </c>
      <c r="D61" s="18">
        <v>0</v>
      </c>
      <c r="E61" s="18">
        <v>651</v>
      </c>
      <c r="F61" s="21">
        <v>0</v>
      </c>
    </row>
    <row r="62" spans="2:7" x14ac:dyDescent="0.2">
      <c r="C62" s="26">
        <v>43252</v>
      </c>
      <c r="D62" s="27">
        <v>0</v>
      </c>
      <c r="E62" s="27">
        <v>651</v>
      </c>
      <c r="F62" s="23">
        <v>0</v>
      </c>
    </row>
    <row r="63" spans="2:7" x14ac:dyDescent="0.2">
      <c r="C63" s="54" t="s">
        <v>58</v>
      </c>
      <c r="D63" s="42">
        <f>SUM(D57:D62)</f>
        <v>-3271</v>
      </c>
      <c r="E63" s="42">
        <f>SUM(E57:E62)</f>
        <v>3255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3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19.625" customWidth="1"/>
    <col min="7" max="7" width="17.625" customWidth="1"/>
  </cols>
  <sheetData>
    <row r="3" spans="2:7" x14ac:dyDescent="0.2">
      <c r="B3" s="109" t="s">
        <v>79</v>
      </c>
      <c r="C3" s="110"/>
      <c r="D3" s="110"/>
      <c r="E3" s="110"/>
      <c r="F3" s="110"/>
      <c r="G3" s="111"/>
    </row>
    <row r="4" spans="2:7" x14ac:dyDescent="0.2">
      <c r="B4" s="112"/>
      <c r="C4" s="113"/>
      <c r="D4" s="113"/>
      <c r="E4" s="113"/>
      <c r="F4" s="113"/>
      <c r="G4" s="114"/>
    </row>
    <row r="6" spans="2:7" x14ac:dyDescent="0.2">
      <c r="B6" s="1"/>
      <c r="C6" s="1"/>
      <c r="D6" s="1"/>
      <c r="E6" s="2" t="s">
        <v>1</v>
      </c>
      <c r="F6" s="1"/>
      <c r="G6" s="1"/>
    </row>
    <row r="7" spans="2:7" x14ac:dyDescent="0.2">
      <c r="B7" s="3"/>
      <c r="C7" s="3"/>
      <c r="D7" s="4" t="s">
        <v>2</v>
      </c>
      <c r="E7" s="4" t="s">
        <v>3</v>
      </c>
      <c r="F7" s="3"/>
      <c r="G7" s="3"/>
    </row>
    <row r="8" spans="2:7" x14ac:dyDescent="0.2">
      <c r="B8" s="3"/>
      <c r="C8" s="3"/>
      <c r="D8" s="4" t="s">
        <v>4</v>
      </c>
      <c r="E8" s="4" t="s">
        <v>5</v>
      </c>
      <c r="F8" s="4" t="s">
        <v>6</v>
      </c>
      <c r="G8" s="4" t="s">
        <v>7</v>
      </c>
    </row>
    <row r="9" spans="2:7" x14ac:dyDescent="0.2">
      <c r="B9" s="5"/>
      <c r="C9" s="5"/>
      <c r="D9" s="5" t="s">
        <v>8</v>
      </c>
      <c r="E9" s="5" t="s">
        <v>8</v>
      </c>
      <c r="F9" s="5" t="s">
        <v>9</v>
      </c>
      <c r="G9" s="5" t="s">
        <v>9</v>
      </c>
    </row>
    <row r="10" spans="2:7" x14ac:dyDescent="0.2">
      <c r="B10" s="6" t="s">
        <v>10</v>
      </c>
      <c r="C10" s="6" t="s">
        <v>11</v>
      </c>
      <c r="D10" s="7" t="s">
        <v>12</v>
      </c>
      <c r="E10" s="7" t="s">
        <v>13</v>
      </c>
      <c r="F10" s="7" t="s">
        <v>14</v>
      </c>
      <c r="G10" s="7" t="s">
        <v>15</v>
      </c>
    </row>
    <row r="11" spans="2:7" x14ac:dyDescent="0.2">
      <c r="B11" s="2">
        <v>1</v>
      </c>
      <c r="C11" s="115" t="s">
        <v>16</v>
      </c>
      <c r="D11" s="116"/>
      <c r="E11" s="116"/>
      <c r="F11" s="116"/>
      <c r="G11" s="117"/>
    </row>
    <row r="12" spans="2:7" x14ac:dyDescent="0.2">
      <c r="B12" s="2" t="s">
        <v>17</v>
      </c>
      <c r="C12" s="8" t="s">
        <v>60</v>
      </c>
      <c r="D12" s="8"/>
      <c r="E12" s="8"/>
      <c r="F12" s="9"/>
      <c r="G12" s="10">
        <v>-8372</v>
      </c>
    </row>
    <row r="13" spans="2:7" x14ac:dyDescent="0.2">
      <c r="B13" s="4" t="s">
        <v>19</v>
      </c>
      <c r="C13" s="8" t="s">
        <v>18</v>
      </c>
      <c r="D13" s="8"/>
      <c r="E13" s="8"/>
      <c r="F13" s="9"/>
      <c r="G13" s="10">
        <v>52185</v>
      </c>
    </row>
    <row r="14" spans="2:7" x14ac:dyDescent="0.2">
      <c r="B14" s="4" t="s">
        <v>21</v>
      </c>
      <c r="C14" s="8" t="s">
        <v>20</v>
      </c>
      <c r="D14" s="8"/>
      <c r="E14" s="8"/>
      <c r="F14" s="9"/>
      <c r="G14" s="10">
        <v>-73256</v>
      </c>
    </row>
    <row r="15" spans="2:7" x14ac:dyDescent="0.2">
      <c r="B15" s="5" t="s">
        <v>61</v>
      </c>
      <c r="C15" s="8" t="s">
        <v>22</v>
      </c>
      <c r="D15" s="8"/>
      <c r="E15" s="8"/>
      <c r="F15" s="11"/>
      <c r="G15" s="12">
        <f>G12+G13+G14</f>
        <v>-29443</v>
      </c>
    </row>
    <row r="16" spans="2:7" x14ac:dyDescent="0.2">
      <c r="B16" s="4">
        <v>2</v>
      </c>
      <c r="C16" s="13">
        <v>43101</v>
      </c>
      <c r="D16" s="14">
        <f>574162-1039</f>
        <v>573123</v>
      </c>
      <c r="E16" s="15">
        <v>643591.80000000005</v>
      </c>
      <c r="F16" s="16">
        <f t="shared" ref="F16:F23" si="0">D16-E16</f>
        <v>-70468.800000000047</v>
      </c>
      <c r="G16" s="12">
        <f t="shared" ref="G16:G23" si="1">G15+F16</f>
        <v>-99911.800000000047</v>
      </c>
    </row>
    <row r="17" spans="2:7" x14ac:dyDescent="0.2">
      <c r="B17" s="4">
        <v>3</v>
      </c>
      <c r="C17" s="17">
        <v>43132</v>
      </c>
      <c r="D17" s="18">
        <f>643780-934</f>
        <v>642846</v>
      </c>
      <c r="E17" s="19">
        <v>600262.52</v>
      </c>
      <c r="F17" s="20">
        <f t="shared" si="0"/>
        <v>42583.479999999981</v>
      </c>
      <c r="G17" s="21">
        <f t="shared" si="1"/>
        <v>-57328.320000000065</v>
      </c>
    </row>
    <row r="18" spans="2:7" x14ac:dyDescent="0.2">
      <c r="B18" s="4">
        <v>4</v>
      </c>
      <c r="C18" s="17">
        <v>43160</v>
      </c>
      <c r="D18" s="18">
        <f>309016-613</f>
        <v>308403</v>
      </c>
      <c r="E18" s="19">
        <v>291357.76</v>
      </c>
      <c r="F18" s="20">
        <f t="shared" si="0"/>
        <v>17045.239999999991</v>
      </c>
      <c r="G18" s="21">
        <f t="shared" si="1"/>
        <v>-40283.080000000075</v>
      </c>
    </row>
    <row r="19" spans="2:7" x14ac:dyDescent="0.2">
      <c r="B19" s="4">
        <v>5</v>
      </c>
      <c r="C19" s="17">
        <v>43191</v>
      </c>
      <c r="D19" s="18">
        <f>192845-410</f>
        <v>192435</v>
      </c>
      <c r="E19" s="19">
        <v>199333.5</v>
      </c>
      <c r="F19" s="20">
        <f t="shared" si="0"/>
        <v>-6898.5</v>
      </c>
      <c r="G19" s="21">
        <f t="shared" si="1"/>
        <v>-47181.580000000075</v>
      </c>
    </row>
    <row r="20" spans="2:7" x14ac:dyDescent="0.2">
      <c r="B20" s="4">
        <v>6</v>
      </c>
      <c r="C20" s="17">
        <v>43221</v>
      </c>
      <c r="D20" s="18">
        <f>292069-761</f>
        <v>291308</v>
      </c>
      <c r="E20" s="19">
        <v>284813.92</v>
      </c>
      <c r="F20" s="20">
        <f t="shared" si="0"/>
        <v>6494.0800000000163</v>
      </c>
      <c r="G20" s="21">
        <f t="shared" si="1"/>
        <v>-40687.500000000058</v>
      </c>
    </row>
    <row r="21" spans="2:7" x14ac:dyDescent="0.2">
      <c r="B21" s="4">
        <v>7</v>
      </c>
      <c r="C21" s="17">
        <v>43252</v>
      </c>
      <c r="D21" s="18">
        <f>308590-814</f>
        <v>307776</v>
      </c>
      <c r="E21" s="19">
        <v>336312.66</v>
      </c>
      <c r="F21" s="22">
        <f t="shared" si="0"/>
        <v>-28536.659999999974</v>
      </c>
      <c r="G21" s="23">
        <f t="shared" si="1"/>
        <v>-69224.160000000033</v>
      </c>
    </row>
    <row r="22" spans="2:7" x14ac:dyDescent="0.2">
      <c r="B22" s="24" t="s">
        <v>23</v>
      </c>
      <c r="C22" s="13">
        <v>43282</v>
      </c>
      <c r="D22" s="14">
        <f>381023-890</f>
        <v>380133</v>
      </c>
      <c r="E22" s="15">
        <v>406670.11</v>
      </c>
      <c r="F22" s="16">
        <f t="shared" si="0"/>
        <v>-26537.109999999986</v>
      </c>
      <c r="G22" s="12">
        <f t="shared" si="1"/>
        <v>-95761.270000000019</v>
      </c>
    </row>
    <row r="23" spans="2:7" x14ac:dyDescent="0.2">
      <c r="B23" s="25" t="s">
        <v>24</v>
      </c>
      <c r="C23" s="26">
        <v>43313</v>
      </c>
      <c r="D23" s="27">
        <f>362361-876</f>
        <v>361485</v>
      </c>
      <c r="E23" s="28">
        <f>366189.03</f>
        <v>366189.03</v>
      </c>
      <c r="F23" s="22">
        <f t="shared" si="0"/>
        <v>-4704.0300000000279</v>
      </c>
      <c r="G23" s="23">
        <f t="shared" si="1"/>
        <v>-100465.30000000005</v>
      </c>
    </row>
    <row r="24" spans="2:7" x14ac:dyDescent="0.2">
      <c r="B24" s="5"/>
      <c r="C24" s="29" t="s">
        <v>72</v>
      </c>
      <c r="D24" s="30"/>
      <c r="E24" s="30"/>
      <c r="F24" s="30"/>
      <c r="G24" s="31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26</v>
      </c>
      <c r="E26" s="4" t="s">
        <v>27</v>
      </c>
      <c r="F26" s="3"/>
      <c r="G26" s="21"/>
    </row>
    <row r="27" spans="2:7" x14ac:dyDescent="0.2">
      <c r="B27" s="4">
        <v>8</v>
      </c>
      <c r="C27" s="3"/>
      <c r="D27" s="4" t="s">
        <v>28</v>
      </c>
      <c r="E27" s="4" t="s">
        <v>29</v>
      </c>
      <c r="F27" s="3"/>
      <c r="G27" s="32" t="s">
        <v>26</v>
      </c>
    </row>
    <row r="28" spans="2:7" x14ac:dyDescent="0.2">
      <c r="B28" s="4"/>
      <c r="C28" s="3"/>
      <c r="D28" s="4" t="s">
        <v>30</v>
      </c>
      <c r="E28" s="4" t="s">
        <v>31</v>
      </c>
      <c r="F28" s="3"/>
      <c r="G28" s="32" t="s">
        <v>32</v>
      </c>
    </row>
    <row r="29" spans="2:7" x14ac:dyDescent="0.2">
      <c r="B29" s="4"/>
      <c r="C29" s="3"/>
      <c r="D29" s="4" t="s">
        <v>33</v>
      </c>
      <c r="E29" s="4" t="s">
        <v>34</v>
      </c>
      <c r="F29" s="3"/>
      <c r="G29" s="32" t="s">
        <v>35</v>
      </c>
    </row>
    <row r="30" spans="2:7" x14ac:dyDescent="0.2">
      <c r="B30" s="5"/>
      <c r="C30" s="3"/>
      <c r="D30" s="4" t="s">
        <v>36</v>
      </c>
      <c r="E30" s="4" t="s">
        <v>37</v>
      </c>
      <c r="F30" s="3"/>
      <c r="G30" s="32" t="s">
        <v>38</v>
      </c>
    </row>
    <row r="31" spans="2:7" x14ac:dyDescent="0.2">
      <c r="B31" s="24" t="s">
        <v>39</v>
      </c>
      <c r="C31" s="1" t="s">
        <v>62</v>
      </c>
      <c r="D31" s="12">
        <f>-G12</f>
        <v>8372</v>
      </c>
      <c r="E31" s="12">
        <f>D63</f>
        <v>-8372</v>
      </c>
      <c r="F31" s="1"/>
      <c r="G31" s="12">
        <f>D31+E31</f>
        <v>0</v>
      </c>
    </row>
    <row r="32" spans="2:7" x14ac:dyDescent="0.2">
      <c r="B32" s="35" t="s">
        <v>41</v>
      </c>
      <c r="C32" s="3" t="s">
        <v>40</v>
      </c>
      <c r="D32" s="21">
        <f>-G13</f>
        <v>-52185</v>
      </c>
      <c r="E32" s="21">
        <f>E63</f>
        <v>43490</v>
      </c>
      <c r="F32" s="3"/>
      <c r="G32" s="21">
        <f>D32+E32</f>
        <v>-8695</v>
      </c>
    </row>
    <row r="33" spans="2:7" x14ac:dyDescent="0.2">
      <c r="B33" s="35" t="s">
        <v>43</v>
      </c>
      <c r="C33" s="33" t="s">
        <v>42</v>
      </c>
      <c r="D33" s="23">
        <f>-G14</f>
        <v>73256</v>
      </c>
      <c r="E33" s="23">
        <f>F63</f>
        <v>0</v>
      </c>
      <c r="F33" s="33"/>
      <c r="G33" s="23">
        <f>D33+E33</f>
        <v>73256</v>
      </c>
    </row>
    <row r="34" spans="2:7" x14ac:dyDescent="0.2">
      <c r="B34" s="5" t="s">
        <v>63</v>
      </c>
      <c r="C34" s="36"/>
      <c r="D34" s="37"/>
      <c r="E34" s="37"/>
      <c r="F34" s="38" t="s">
        <v>44</v>
      </c>
      <c r="G34" s="23">
        <f>G31+G32+G33</f>
        <v>64561</v>
      </c>
    </row>
    <row r="35" spans="2:7" x14ac:dyDescent="0.2">
      <c r="B35" s="39"/>
      <c r="G35" s="40"/>
    </row>
    <row r="36" spans="2:7" x14ac:dyDescent="0.2">
      <c r="B36" s="6">
        <v>9</v>
      </c>
      <c r="C36" s="43" t="s">
        <v>64</v>
      </c>
      <c r="D36" s="8"/>
      <c r="E36" s="8"/>
      <c r="F36" s="9"/>
      <c r="G36" s="42">
        <f>G21+G34</f>
        <v>-4663.1600000000326</v>
      </c>
    </row>
    <row r="37" spans="2:7" x14ac:dyDescent="0.2">
      <c r="B37" s="39"/>
      <c r="G37" s="40"/>
    </row>
    <row r="38" spans="2:7" x14ac:dyDescent="0.2">
      <c r="B38" s="6">
        <v>10</v>
      </c>
      <c r="C38" s="43" t="s">
        <v>46</v>
      </c>
      <c r="D38" s="8"/>
      <c r="E38" s="8"/>
      <c r="F38" s="9"/>
      <c r="G38" s="42">
        <f>G36/6</f>
        <v>-777.19333333333873</v>
      </c>
    </row>
    <row r="40" spans="2:7" x14ac:dyDescent="0.2">
      <c r="B40" s="1"/>
      <c r="C40" s="44" t="s">
        <v>47</v>
      </c>
      <c r="D40" s="45"/>
      <c r="E40" s="45"/>
      <c r="F40" s="45"/>
      <c r="G40" s="46"/>
    </row>
    <row r="41" spans="2:7" x14ac:dyDescent="0.2">
      <c r="B41" s="1"/>
      <c r="C41" s="47"/>
      <c r="D41" s="47"/>
      <c r="E41" s="47"/>
      <c r="F41" s="47"/>
      <c r="G41" s="11"/>
    </row>
    <row r="42" spans="2:7" x14ac:dyDescent="0.2">
      <c r="B42" s="4">
        <v>11</v>
      </c>
      <c r="C42" s="48" t="s">
        <v>48</v>
      </c>
      <c r="D42" s="48"/>
      <c r="E42" s="48"/>
      <c r="F42" s="48"/>
      <c r="G42" s="49">
        <f>G15</f>
        <v>-29443</v>
      </c>
    </row>
    <row r="43" spans="2:7" x14ac:dyDescent="0.2">
      <c r="B43" s="4">
        <v>12</v>
      </c>
      <c r="C43" s="48" t="s">
        <v>49</v>
      </c>
      <c r="D43" s="48"/>
      <c r="E43" s="48"/>
      <c r="F43" s="48"/>
      <c r="G43" s="50">
        <f>G34</f>
        <v>64561</v>
      </c>
    </row>
    <row r="44" spans="2:7" x14ac:dyDescent="0.2">
      <c r="B44" s="4"/>
      <c r="C44" s="48"/>
      <c r="D44" s="48"/>
      <c r="E44" s="48"/>
      <c r="F44" s="48"/>
      <c r="G44" s="49"/>
    </row>
    <row r="45" spans="2:7" ht="15" thickBot="1" x14ac:dyDescent="0.25">
      <c r="B45" s="4">
        <v>13</v>
      </c>
      <c r="C45" s="48" t="s">
        <v>50</v>
      </c>
      <c r="D45" s="48"/>
      <c r="E45" s="48"/>
      <c r="F45" s="48"/>
      <c r="G45" s="51">
        <f>G42+G43</f>
        <v>35118</v>
      </c>
    </row>
    <row r="46" spans="2:7" ht="15" thickTop="1" x14ac:dyDescent="0.2">
      <c r="B46" s="4"/>
      <c r="C46" s="48"/>
      <c r="D46" s="48"/>
      <c r="E46" s="48"/>
      <c r="F46" s="48"/>
      <c r="G46" s="49"/>
    </row>
    <row r="47" spans="2:7" x14ac:dyDescent="0.2">
      <c r="B47" s="4">
        <v>14</v>
      </c>
      <c r="C47" s="48" t="s">
        <v>51</v>
      </c>
      <c r="D47" s="48"/>
      <c r="E47" s="48"/>
      <c r="F47" s="48"/>
      <c r="G47" s="49">
        <f>G36</f>
        <v>-4663.1600000000326</v>
      </c>
    </row>
    <row r="48" spans="2:7" x14ac:dyDescent="0.2">
      <c r="B48" s="4"/>
      <c r="C48" s="48"/>
      <c r="D48" s="48"/>
      <c r="E48" s="48"/>
      <c r="F48" s="48"/>
      <c r="G48" s="49"/>
    </row>
    <row r="49" spans="2:7" x14ac:dyDescent="0.2">
      <c r="B49" s="4">
        <v>15</v>
      </c>
      <c r="C49" s="48" t="s">
        <v>52</v>
      </c>
      <c r="D49" s="48"/>
      <c r="E49" s="48"/>
      <c r="F49" s="48"/>
      <c r="G49" s="50">
        <f>SUM(F16:F21)</f>
        <v>-39781.160000000033</v>
      </c>
    </row>
    <row r="50" spans="2:7" x14ac:dyDescent="0.2">
      <c r="B50" s="4"/>
      <c r="C50" s="48"/>
      <c r="D50" s="48"/>
      <c r="E50" s="48"/>
      <c r="F50" s="48"/>
      <c r="G50" s="49"/>
    </row>
    <row r="51" spans="2:7" ht="15" thickBot="1" x14ac:dyDescent="0.25">
      <c r="B51" s="4">
        <v>16</v>
      </c>
      <c r="C51" s="48" t="s">
        <v>53</v>
      </c>
      <c r="D51" s="48"/>
      <c r="E51" s="48"/>
      <c r="F51" s="48"/>
      <c r="G51" s="51">
        <f>G47-G49</f>
        <v>35118</v>
      </c>
    </row>
    <row r="52" spans="2:7" ht="15" thickTop="1" x14ac:dyDescent="0.2">
      <c r="B52" s="33"/>
      <c r="C52" s="52"/>
      <c r="D52" s="52"/>
      <c r="E52" s="52"/>
      <c r="F52" s="52"/>
      <c r="G52" s="53"/>
    </row>
    <row r="54" spans="2:7" x14ac:dyDescent="0.2">
      <c r="B54" t="s">
        <v>54</v>
      </c>
    </row>
    <row r="55" spans="2:7" x14ac:dyDescent="0.2">
      <c r="B55" s="39"/>
      <c r="C55" s="1"/>
      <c r="D55" s="2" t="s">
        <v>55</v>
      </c>
      <c r="E55" s="2" t="s">
        <v>55</v>
      </c>
      <c r="F55" s="2" t="s">
        <v>55</v>
      </c>
    </row>
    <row r="56" spans="2:7" x14ac:dyDescent="0.2">
      <c r="B56" s="39"/>
      <c r="C56" s="5" t="s">
        <v>11</v>
      </c>
      <c r="D56" s="5" t="s">
        <v>66</v>
      </c>
      <c r="E56" s="5" t="s">
        <v>56</v>
      </c>
      <c r="F56" s="5" t="s">
        <v>57</v>
      </c>
    </row>
    <row r="57" spans="2:7" x14ac:dyDescent="0.2">
      <c r="C57" s="13">
        <v>43101</v>
      </c>
      <c r="D57" s="14">
        <v>-8372</v>
      </c>
      <c r="E57" s="14">
        <v>0</v>
      </c>
      <c r="F57" s="12">
        <v>0</v>
      </c>
    </row>
    <row r="58" spans="2:7" x14ac:dyDescent="0.2">
      <c r="C58" s="17">
        <v>43132</v>
      </c>
      <c r="D58" s="18">
        <v>0</v>
      </c>
      <c r="E58" s="18">
        <v>8698</v>
      </c>
      <c r="F58" s="21">
        <v>0</v>
      </c>
    </row>
    <row r="59" spans="2:7" x14ac:dyDescent="0.2">
      <c r="C59" s="17">
        <v>43160</v>
      </c>
      <c r="D59" s="18">
        <v>0</v>
      </c>
      <c r="E59" s="18">
        <v>8698</v>
      </c>
      <c r="F59" s="21">
        <v>0</v>
      </c>
    </row>
    <row r="60" spans="2:7" x14ac:dyDescent="0.2">
      <c r="C60" s="17">
        <v>43191</v>
      </c>
      <c r="D60" s="18">
        <v>0</v>
      </c>
      <c r="E60" s="18">
        <v>8698</v>
      </c>
      <c r="F60" s="21">
        <v>0</v>
      </c>
    </row>
    <row r="61" spans="2:7" x14ac:dyDescent="0.2">
      <c r="C61" s="17">
        <v>43221</v>
      </c>
      <c r="D61" s="18">
        <v>0</v>
      </c>
      <c r="E61" s="18">
        <v>8698</v>
      </c>
      <c r="F61" s="21">
        <v>0</v>
      </c>
    </row>
    <row r="62" spans="2:7" x14ac:dyDescent="0.2">
      <c r="C62" s="26">
        <v>43252</v>
      </c>
      <c r="D62" s="27">
        <v>0</v>
      </c>
      <c r="E62" s="27">
        <v>8698</v>
      </c>
      <c r="F62" s="23">
        <v>0</v>
      </c>
    </row>
    <row r="63" spans="2:7" x14ac:dyDescent="0.2">
      <c r="C63" s="54" t="s">
        <v>58</v>
      </c>
      <c r="D63" s="42">
        <f>SUM(D57:D62)</f>
        <v>-8372</v>
      </c>
      <c r="E63" s="42">
        <f>SUM(E57:E62)</f>
        <v>43490</v>
      </c>
      <c r="F63" s="42">
        <f>SUM(F57:F62)</f>
        <v>0</v>
      </c>
    </row>
  </sheetData>
  <mergeCells count="2">
    <mergeCell ref="B3:G4"/>
    <mergeCell ref="C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Big Sandy</vt:lpstr>
      <vt:lpstr>Blue Grass</vt:lpstr>
      <vt:lpstr>Clark</vt:lpstr>
      <vt:lpstr>Cumberland Valley</vt:lpstr>
      <vt:lpstr>Farmers</vt:lpstr>
      <vt:lpstr>Fleming-Mason Rate E</vt:lpstr>
      <vt:lpstr>Fleming-Mason - Steam &amp; Indust.</vt:lpstr>
      <vt:lpstr>Grayson</vt:lpstr>
      <vt:lpstr>Inter-County</vt:lpstr>
      <vt:lpstr>Jackson</vt:lpstr>
      <vt:lpstr>Licking Valley</vt:lpstr>
      <vt:lpstr>Nolin</vt:lpstr>
      <vt:lpstr>Owen - Rate E</vt:lpstr>
      <vt:lpstr>Owen - Industrial</vt:lpstr>
      <vt:lpstr>Salt River</vt:lpstr>
      <vt:lpstr>Shelby</vt:lpstr>
      <vt:lpstr>South Kentucky</vt:lpstr>
      <vt:lpstr>Taylor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2018-10-17T12:00:26Z</dcterms:created>
  <dcterms:modified xsi:type="dcterms:W3CDTF">2018-10-23T19:59:45Z</dcterms:modified>
</cp:coreProperties>
</file>