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0" yWindow="615" windowWidth="19440" windowHeight="9465"/>
  </bookViews>
  <sheets>
    <sheet name="Data" sheetId="1" r:id="rId1"/>
  </sheets>
  <definedNames>
    <definedName name="_xlnm._FilterDatabase" localSheetId="0" hidden="1">Data!$B$4:$K$28</definedName>
  </definedNames>
  <calcPr calcId="162913" iterate="1"/>
</workbook>
</file>

<file path=xl/calcChain.xml><?xml version="1.0" encoding="utf-8"?>
<calcChain xmlns="http://schemas.openxmlformats.org/spreadsheetml/2006/main">
  <c r="K45" i="1" l="1"/>
  <c r="I45" i="1"/>
  <c r="H45" i="1"/>
  <c r="J45" i="1" s="1"/>
  <c r="G45" i="1"/>
  <c r="F45" i="1"/>
  <c r="I44" i="1"/>
  <c r="H44" i="1"/>
  <c r="K44" i="1" s="1"/>
  <c r="G44" i="1"/>
  <c r="F44" i="1"/>
  <c r="I42" i="1"/>
  <c r="H42" i="1"/>
  <c r="J42" i="1" s="1"/>
  <c r="G42" i="1"/>
  <c r="F42" i="1"/>
  <c r="I41" i="1"/>
  <c r="H41" i="1"/>
  <c r="J41" i="1" s="1"/>
  <c r="G41" i="1"/>
  <c r="F41" i="1"/>
  <c r="I39" i="1"/>
  <c r="H39" i="1"/>
  <c r="J39" i="1" s="1"/>
  <c r="G39" i="1"/>
  <c r="F39" i="1"/>
  <c r="I38" i="1"/>
  <c r="K38" i="1" s="1"/>
  <c r="H38" i="1"/>
  <c r="G38" i="1"/>
  <c r="F38" i="1"/>
  <c r="K36" i="1"/>
  <c r="J36" i="1"/>
  <c r="I36" i="1"/>
  <c r="H36" i="1"/>
  <c r="G36" i="1"/>
  <c r="F36" i="1"/>
  <c r="I35" i="1"/>
  <c r="H35" i="1"/>
  <c r="K35" i="1" s="1"/>
  <c r="G35" i="1"/>
  <c r="F35"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K6" i="1"/>
  <c r="J6" i="1"/>
  <c r="K5" i="1"/>
  <c r="J5" i="1"/>
  <c r="H28" i="1"/>
  <c r="H27" i="1"/>
  <c r="H26" i="1"/>
  <c r="H25" i="1"/>
  <c r="H24" i="1"/>
  <c r="H23" i="1"/>
  <c r="H22" i="1"/>
  <c r="H21" i="1"/>
  <c r="H20" i="1"/>
  <c r="H19" i="1"/>
  <c r="H18" i="1"/>
  <c r="H17" i="1"/>
  <c r="H16" i="1"/>
  <c r="H15" i="1"/>
  <c r="H14" i="1"/>
  <c r="H13" i="1"/>
  <c r="H12" i="1"/>
  <c r="H11" i="1"/>
  <c r="H10" i="1"/>
  <c r="H9" i="1"/>
  <c r="H8" i="1"/>
  <c r="H7" i="1"/>
  <c r="H6" i="1"/>
  <c r="H5" i="1"/>
  <c r="K32" i="1"/>
  <c r="H32" i="1"/>
  <c r="J32" i="1" s="1"/>
  <c r="F32" i="1"/>
  <c r="K42" i="1" l="1"/>
  <c r="J38" i="1"/>
  <c r="K41" i="1"/>
  <c r="J35" i="1"/>
  <c r="J44" i="1"/>
  <c r="K39" i="1"/>
</calcChain>
</file>

<file path=xl/sharedStrings.xml><?xml version="1.0" encoding="utf-8"?>
<sst xmlns="http://schemas.openxmlformats.org/spreadsheetml/2006/main" count="143" uniqueCount="43">
  <si>
    <t>Rate</t>
  </si>
  <si>
    <t>Category</t>
  </si>
  <si>
    <t>Values</t>
  </si>
  <si>
    <t>As-Available Gas Service, Commercial</t>
  </si>
  <si>
    <t>Sales</t>
  </si>
  <si>
    <t>Volume (Mcf)</t>
  </si>
  <si>
    <t>Customers</t>
  </si>
  <si>
    <t>Average Number of Customers</t>
  </si>
  <si>
    <t>As-Available Gas Service, Industrial</t>
  </si>
  <si>
    <t>Transport</t>
  </si>
  <si>
    <t>Firm Commercial Gas Service</t>
  </si>
  <si>
    <t>Firm Industrial Gas Service</t>
  </si>
  <si>
    <t>Gas Transport Service, FT Commercial</t>
  </si>
  <si>
    <t>Gas Transport Service, FT Industrial</t>
  </si>
  <si>
    <t>Residential Gas Service</t>
  </si>
  <si>
    <t>TS-2: Gas Trans/Firm Balancing (AAGS In)</t>
  </si>
  <si>
    <t>TS-2: Gas Transport/Firm Balancing (IGS)</t>
  </si>
  <si>
    <t>Total Customers</t>
  </si>
  <si>
    <t>Residential</t>
  </si>
  <si>
    <t>Total LGE Gas Unbilled</t>
  </si>
  <si>
    <t>Gas Volumes</t>
  </si>
  <si>
    <t>Comparison of LG&amp;E Gas Customers, and Volumes by Rate Classes: Base Period vs Test Period</t>
  </si>
  <si>
    <t>Other</t>
  </si>
  <si>
    <t>Total</t>
  </si>
  <si>
    <t>Total Transport Volumes</t>
  </si>
  <si>
    <t>Total Sales Volumes - Calendar Adjusted</t>
  </si>
  <si>
    <t>LG&amp;E Gas Unbilled Adjustment**</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</si>
  <si>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</si>
  <si>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t>Base Period</t>
  </si>
  <si>
    <t>Total Volumes - Calendar Adjusted</t>
  </si>
  <si>
    <t>Volume Type</t>
  </si>
  <si>
    <t>Gas Special Contracts - LG&amp;E Generation</t>
  </si>
  <si>
    <t>Generation</t>
  </si>
  <si>
    <t>Total Generation Volumes</t>
  </si>
  <si>
    <t>Forecasted Test Period
(May '19 - Apr '20)</t>
  </si>
  <si>
    <t>Billed Actual
(Jan '18 - Jun '18)*</t>
  </si>
  <si>
    <t xml:space="preserve"> Calendar Forecasted
(Jul '18 - Dec '18)</t>
  </si>
  <si>
    <t>Total
(Jan '18 - Dec '18)</t>
  </si>
  <si>
    <t>Substitute Gas Sales Service</t>
  </si>
  <si>
    <t>Distributed Generation Gas Service</t>
  </si>
  <si>
    <r>
      <t xml:space="preserve">**Billed sales in January include a portion of the energy consumed in January and a portion of the energy consumed in December.  Likewise, billed sales for June include a portion of the energy consumed in June and a portion of the energy consumed in May.  The portion of the energy consumed in June but not included in June billed sales is the "unbilled" portion of calendar-month ("calendar") sales for June.  To properly compare the Base Period to the Forecasted Test Period (which includes twelve months of calendar sales), unbilled sales for June </t>
    </r>
    <r>
      <rPr>
        <sz val="11"/>
        <rFont val="Calibri"/>
        <family val="2"/>
        <scheme val="minor"/>
      </rPr>
      <t>must be added to the Base Period and unbilled sales for December (which are included in January billed sales) must be subtracted from the Base Period.  Because June unbilled sales are less than December unbilled sales, the total unbilled sales adjustment is negative.</t>
    </r>
  </si>
  <si>
    <t>Difference</t>
  </si>
  <si>
    <t>%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</si>
</sst>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0" fillId="0" borderId="1" xfId="0" applyBorder="1"/>
    <xf numFmtId="164" fontId="0" fillId="0" borderId="1" xfId="1" applyNumberFormat="1" applyFont="1" applyBorder="1"/>
    <xf numFmtId="0" fontId="0" fillId="0" borderId="3" xfId="0" applyBorder="1"/>
    <xf numFmtId="164" fontId="0" fillId="0" borderId="3" xfId="1" applyNumberFormat="1" applyFont="1" applyBorder="1"/>
    <xf numFmtId="164" fontId="0" fillId="0" borderId="5" xfId="1" applyNumberFormat="1" applyFont="1" applyBorder="1"/>
    <xf numFmtId="164" fontId="0" fillId="0" borderId="6" xfId="1" applyNumberFormat="1" applyFont="1" applyBorder="1"/>
    <xf numFmtId="0" fontId="0" fillId="0" borderId="7" xfId="0" applyBorder="1"/>
    <xf numFmtId="165" fontId="0" fillId="0" borderId="2" xfId="2" applyNumberFormat="1" applyFont="1" applyBorder="1"/>
    <xf numFmtId="165" fontId="0" fillId="0" borderId="4" xfId="2" applyNumberFormat="1" applyFont="1" applyBorder="1"/>
    <xf numFmtId="0" fontId="0" fillId="0" borderId="0" xfId="0" applyBorder="1"/>
    <xf numFmtId="164" fontId="0" fillId="0" borderId="0" xfId="1" applyNumberFormat="1" applyFont="1" applyBorder="1"/>
    <xf numFmtId="165" fontId="0" fillId="0" borderId="0" xfId="2" applyNumberFormat="1" applyFont="1" applyBorder="1"/>
    <xf numFmtId="0" fontId="0" fillId="0" borderId="8" xfId="0" applyBorder="1"/>
    <xf numFmtId="164" fontId="0" fillId="0" borderId="8" xfId="1" applyNumberFormat="1" applyFont="1" applyBorder="1"/>
    <xf numFmtId="164" fontId="0" fillId="0" borderId="8" xfId="1" applyNumberFormat="1" applyFont="1" applyFill="1" applyBorder="1"/>
    <xf numFmtId="0" fontId="0" fillId="0" borderId="6" xfId="0" applyFill="1" applyBorder="1" applyAlignment="1">
      <alignment horizontal="left" indent="1"/>
    </xf>
    <xf numFmtId="0" fontId="0" fillId="0" borderId="6" xfId="0" applyBorder="1"/>
    <xf numFmtId="164" fontId="0" fillId="0" borderId="6" xfId="1" applyNumberFormat="1" applyFont="1" applyFill="1" applyBorder="1"/>
    <xf numFmtId="0" fontId="0" fillId="0" borderId="0" xfId="0" applyFont="1"/>
    <xf numFmtId="0" fontId="0" fillId="0" borderId="0" xfId="0" applyBorder="1" applyAlignment="1">
      <alignment horizontal="left"/>
    </xf>
    <xf numFmtId="164" fontId="0" fillId="0" borderId="0" xfId="0" applyNumberFormat="1" applyBorder="1"/>
    <xf numFmtId="0" fontId="3" fillId="0" borderId="0" xfId="0" applyFont="1"/>
    <xf numFmtId="3" fontId="0" fillId="0" borderId="0" xfId="0" applyNumberFormat="1"/>
    <xf numFmtId="0" fontId="0" fillId="0" borderId="1" xfId="0" applyFill="1" applyBorder="1" applyAlignment="1">
      <alignment horizontal="left"/>
    </xf>
    <xf numFmtId="164" fontId="0" fillId="0" borderId="0" xfId="1" applyNumberFormat="1" applyFont="1" applyFill="1" applyBorder="1"/>
    <xf numFmtId="165" fontId="0" fillId="0" borderId="0" xfId="2" applyNumberFormat="1" applyFont="1" applyFill="1" applyBorder="1"/>
    <xf numFmtId="0" fontId="0" fillId="0" borderId="0" xfId="0" applyFill="1" applyBorder="1" applyAlignment="1">
      <alignment horizontal="left" indent="1"/>
    </xf>
    <xf numFmtId="9" fontId="0" fillId="0" borderId="0" xfId="2" applyNumberFormat="1" applyFont="1" applyFill="1" applyBorder="1"/>
    <xf numFmtId="0" fontId="0" fillId="0" borderId="0" xfId="0" applyBorder="1" applyAlignment="1">
      <alignment horizontal="left" wrapText="1"/>
    </xf>
    <xf numFmtId="0" fontId="0" fillId="0" borderId="0" xfId="0" applyAlignment="1">
      <alignment horizontal="left"/>
    </xf>
    <xf numFmtId="0" fontId="0" fillId="0" borderId="0" xfId="0" applyBorder="1" applyAlignment="1">
      <alignment horizontal="left" vertical="top" wrapText="1"/>
    </xf>
    <xf numFmtId="0" fontId="0" fillId="0" borderId="10" xfId="0" applyFont="1" applyBorder="1"/>
    <xf numFmtId="0" fontId="0" fillId="0" borderId="1" xfId="0" applyFont="1" applyBorder="1"/>
    <xf numFmtId="164" fontId="0" fillId="0" borderId="1" xfId="0" applyNumberFormat="1" applyBorder="1"/>
    <xf numFmtId="3" fontId="2" fillId="0" borderId="6" xfId="0" applyNumberFormat="1" applyFont="1" applyBorder="1" applyAlignment="1">
      <alignment horizontal="center" wrapText="1"/>
    </xf>
    <xf numFmtId="165" fontId="0" fillId="0" borderId="9" xfId="2" applyNumberFormat="1" applyFont="1" applyFill="1" applyBorder="1"/>
    <xf numFmtId="165" fontId="0" fillId="0" borderId="6" xfId="2" applyNumberFormat="1" applyFont="1" applyFill="1" applyBorder="1"/>
    <xf numFmtId="0" fontId="2" fillId="0" borderId="3" xfId="0" applyFont="1" applyBorder="1" applyAlignment="1">
      <alignment horizontal="left"/>
    </xf>
    <xf numFmtId="164" fontId="2" fillId="0" borderId="1" xfId="1" applyNumberFormat="1" applyFont="1" applyFill="1" applyBorder="1"/>
    <xf numFmtId="165" fontId="2" fillId="0" borderId="2" xfId="2" applyNumberFormat="1" applyFont="1" applyFill="1" applyBorder="1"/>
    <xf numFmtId="164" fontId="2" fillId="0" borderId="6" xfId="1" applyNumberFormat="1" applyFont="1" applyBorder="1" applyAlignment="1">
      <alignment horizontal="center" wrapText="1"/>
    </xf>
    <xf numFmtId="164" fontId="2" fillId="0" borderId="8" xfId="1" applyNumberFormat="1" applyFont="1" applyFill="1" applyBorder="1"/>
    <xf numFmtId="165" fontId="2" fillId="0" borderId="9" xfId="2" applyNumberFormat="1" applyFont="1" applyFill="1" applyBorder="1"/>
    <xf numFmtId="1" fontId="0" fillId="0" borderId="0" xfId="0" applyNumberFormat="1"/>
    <xf numFmtId="3" fontId="2" fillId="0" borderId="11" xfId="0" applyNumberFormat="1" applyFont="1" applyBorder="1" applyAlignment="1">
      <alignment horizontal="center"/>
    </xf>
    <xf numFmtId="3" fontId="2" fillId="0" borderId="12" xfId="0" applyNumberFormat="1" applyFont="1" applyBorder="1" applyAlignment="1">
      <alignment horizontal="center"/>
    </xf>
    <xf numFmtId="3" fontId="2" fillId="0" borderId="13" xfId="0" applyNumberFormat="1" applyFont="1" applyBorder="1" applyAlignment="1">
      <alignment horizontal="center"/>
    </xf>
    <xf numFmtId="0" fontId="0" fillId="0" borderId="0" xfId="0" applyBorder="1" applyAlignment="1">
      <alignment horizontal="left" vertical="top" wrapText="1"/>
    </xf>
    <xf numFmtId="164" fontId="2" fillId="0" borderId="1" xfId="1" applyNumberFormat="1" applyFont="1" applyBorder="1" applyAlignment="1">
      <alignment horizontal="center" wrapText="1"/>
    </xf>
    <xf numFmtId="164" fontId="2" fillId="0" borderId="3" xfId="1" applyNumberFormat="1"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57"/>
  <sheetViews>
    <sheetView showGridLines="0" tabSelected="1" zoomScale="85" zoomScaleNormal="85" workbookViewId="0"/>
  </sheetViews>
  <sheetFormatPr defaultRowHeight="15" x14ac:dyDescent="0.25"/>
  <cols>
    <col min="1" max="1" width="2.42578125" customWidth="1"/>
    <col min="2" max="2" width="39.140625" customWidth="1"/>
    <col min="3" max="3" width="14.7109375" customWidth="1"/>
    <col min="4" max="4" width="19.7109375" customWidth="1"/>
    <col min="5" max="5" width="28.7109375" bestFit="1" customWidth="1"/>
    <col min="6" max="6" width="17.7109375" bestFit="1" customWidth="1"/>
    <col min="7" max="7" width="19.5703125" bestFit="1" customWidth="1"/>
    <col min="8" max="8" width="17" bestFit="1" customWidth="1"/>
    <col min="9" max="9" width="22" bestFit="1" customWidth="1"/>
    <col min="10" max="10" width="11.85546875" bestFit="1" customWidth="1"/>
    <col min="11" max="11" width="12.42578125" bestFit="1" customWidth="1"/>
    <col min="13" max="13" width="9.7109375" bestFit="1" customWidth="1"/>
  </cols>
  <sheetData>
    <row r="1" spans="2:13" ht="15.75" x14ac:dyDescent="0.25">
      <c r="B1" s="22" t="s">
        <v>21</v>
      </c>
    </row>
    <row r="2" spans="2:13" x14ac:dyDescent="0.25">
      <c r="B2" s="19"/>
    </row>
    <row r="3" spans="2:13" x14ac:dyDescent="0.25">
      <c r="B3" s="32"/>
      <c r="C3" s="1"/>
      <c r="D3" s="1"/>
      <c r="E3" s="1"/>
      <c r="F3" s="45" t="s">
        <v>28</v>
      </c>
      <c r="G3" s="46"/>
      <c r="H3" s="47"/>
      <c r="I3" s="49" t="s">
        <v>34</v>
      </c>
      <c r="J3" s="39"/>
      <c r="K3" s="40"/>
    </row>
    <row r="4" spans="2:13" ht="30" customHeight="1" x14ac:dyDescent="0.25">
      <c r="B4" s="38" t="s">
        <v>0</v>
      </c>
      <c r="C4" s="38" t="s">
        <v>1</v>
      </c>
      <c r="D4" s="38" t="s">
        <v>30</v>
      </c>
      <c r="E4" s="38" t="s">
        <v>2</v>
      </c>
      <c r="F4" s="35" t="s">
        <v>35</v>
      </c>
      <c r="G4" s="35" t="s">
        <v>36</v>
      </c>
      <c r="H4" s="41" t="s">
        <v>37</v>
      </c>
      <c r="I4" s="50"/>
      <c r="J4" s="42" t="s">
        <v>41</v>
      </c>
      <c r="K4" s="43" t="s">
        <v>42</v>
      </c>
    </row>
    <row r="5" spans="2:13" x14ac:dyDescent="0.25">
      <c r="B5" s="1" t="s">
        <v>3</v>
      </c>
      <c r="C5" s="1" t="s">
        <v>20</v>
      </c>
      <c r="D5" s="1" t="s">
        <v>4</v>
      </c>
      <c r="E5" s="1" t="s">
        <v>5</v>
      </c>
      <c r="F5" s="2">
        <v>51272.5</v>
      </c>
      <c r="G5" s="2">
        <v>32566.3690827629</v>
      </c>
      <c r="H5" s="2">
        <f>IF(LEFT(E5,7)="Average",AVERAGE(F5:G5),SUM(F5:G5))</f>
        <v>83838.869082762903</v>
      </c>
      <c r="I5" s="2">
        <v>73677.610381622697</v>
      </c>
      <c r="J5" s="2">
        <f t="shared" ref="J5:J28" si="0">IF(H5="","",I5-H5)</f>
        <v>-10161.258701140207</v>
      </c>
      <c r="K5" s="8">
        <f t="shared" ref="K5:K28" si="1">IF(H5="","",I5/H5-1)</f>
        <v>-0.12119985410477518</v>
      </c>
    </row>
    <row r="6" spans="2:13" x14ac:dyDescent="0.25">
      <c r="B6" s="3"/>
      <c r="C6" s="3" t="s">
        <v>6</v>
      </c>
      <c r="D6" s="3" t="s">
        <v>4</v>
      </c>
      <c r="E6" s="3" t="s">
        <v>7</v>
      </c>
      <c r="F6" s="4">
        <v>2</v>
      </c>
      <c r="G6" s="4">
        <v>2</v>
      </c>
      <c r="H6" s="4">
        <f t="shared" ref="H6:H28" si="2">IF(LEFT(E6,7)="Average",AVERAGE(F6:G6),SUM(F6:G6))</f>
        <v>2</v>
      </c>
      <c r="I6" s="4">
        <v>2</v>
      </c>
      <c r="J6" s="4">
        <f t="shared" si="0"/>
        <v>0</v>
      </c>
      <c r="K6" s="9">
        <f t="shared" si="1"/>
        <v>0</v>
      </c>
      <c r="M6" s="23"/>
    </row>
    <row r="7" spans="2:13" x14ac:dyDescent="0.25">
      <c r="B7" s="1" t="s">
        <v>8</v>
      </c>
      <c r="C7" s="1" t="s">
        <v>20</v>
      </c>
      <c r="D7" s="1" t="s">
        <v>4</v>
      </c>
      <c r="E7" s="1" t="s">
        <v>5</v>
      </c>
      <c r="F7" s="2">
        <v>29278.1</v>
      </c>
      <c r="G7" s="2">
        <v>49382.200638826398</v>
      </c>
      <c r="H7" s="2">
        <f t="shared" si="2"/>
        <v>78660.300638826389</v>
      </c>
      <c r="I7" s="2">
        <v>72373.120609911304</v>
      </c>
      <c r="J7" s="2">
        <f t="shared" si="0"/>
        <v>-6287.1800289150851</v>
      </c>
      <c r="K7" s="8">
        <f t="shared" si="1"/>
        <v>-7.9928248148746106E-2</v>
      </c>
    </row>
    <row r="8" spans="2:13" x14ac:dyDescent="0.25">
      <c r="B8" s="3"/>
      <c r="C8" s="3" t="s">
        <v>6</v>
      </c>
      <c r="D8" s="3" t="s">
        <v>4</v>
      </c>
      <c r="E8" s="3" t="s">
        <v>7</v>
      </c>
      <c r="F8" s="4">
        <v>2</v>
      </c>
      <c r="G8" s="4">
        <v>2</v>
      </c>
      <c r="H8" s="4">
        <f t="shared" si="2"/>
        <v>2</v>
      </c>
      <c r="I8" s="4">
        <v>2</v>
      </c>
      <c r="J8" s="4">
        <f t="shared" si="0"/>
        <v>0</v>
      </c>
      <c r="K8" s="9">
        <f t="shared" si="1"/>
        <v>0</v>
      </c>
      <c r="M8" s="23"/>
    </row>
    <row r="9" spans="2:13" x14ac:dyDescent="0.25">
      <c r="B9" s="13" t="s">
        <v>39</v>
      </c>
      <c r="C9" s="13" t="s">
        <v>20</v>
      </c>
      <c r="D9" s="13" t="s">
        <v>4</v>
      </c>
      <c r="E9" s="13" t="s">
        <v>5</v>
      </c>
      <c r="F9" s="14">
        <v>10.9</v>
      </c>
      <c r="G9" s="14">
        <v>4.6376596209606902</v>
      </c>
      <c r="H9" s="14">
        <f t="shared" si="2"/>
        <v>15.537659620960691</v>
      </c>
      <c r="I9" s="14">
        <v>8.3905771403462008</v>
      </c>
      <c r="J9" s="2">
        <f t="shared" si="0"/>
        <v>-7.1470824806144897</v>
      </c>
      <c r="K9" s="8">
        <f t="shared" si="1"/>
        <v>-0.45998449283654641</v>
      </c>
      <c r="M9" s="23"/>
    </row>
    <row r="10" spans="2:13" x14ac:dyDescent="0.25">
      <c r="B10" s="13"/>
      <c r="C10" s="13" t="s">
        <v>6</v>
      </c>
      <c r="D10" s="13" t="s">
        <v>4</v>
      </c>
      <c r="E10" s="3" t="s">
        <v>7</v>
      </c>
      <c r="F10" s="14">
        <v>1.1666666666666701</v>
      </c>
      <c r="G10" s="14">
        <v>2</v>
      </c>
      <c r="H10" s="4">
        <f t="shared" si="2"/>
        <v>1.583333333333335</v>
      </c>
      <c r="I10" s="14">
        <v>2</v>
      </c>
      <c r="J10" s="4">
        <f t="shared" si="0"/>
        <v>0.41666666666666496</v>
      </c>
      <c r="K10" s="9">
        <f t="shared" si="1"/>
        <v>0.2631578947368407</v>
      </c>
      <c r="M10" s="23"/>
    </row>
    <row r="11" spans="2:13" x14ac:dyDescent="0.25">
      <c r="B11" s="1" t="s">
        <v>10</v>
      </c>
      <c r="C11" s="1" t="s">
        <v>20</v>
      </c>
      <c r="D11" s="1" t="s">
        <v>4</v>
      </c>
      <c r="E11" s="1" t="s">
        <v>5</v>
      </c>
      <c r="F11" s="2">
        <v>7342259.5</v>
      </c>
      <c r="G11" s="2">
        <v>3745488.5325764902</v>
      </c>
      <c r="H11" s="2">
        <f t="shared" si="2"/>
        <v>11087748.03257649</v>
      </c>
      <c r="I11" s="2">
        <v>9951330.4410314206</v>
      </c>
      <c r="J11" s="2">
        <f t="shared" si="0"/>
        <v>-1136417.5915450696</v>
      </c>
      <c r="K11" s="8">
        <f t="shared" si="1"/>
        <v>-0.10249309311559063</v>
      </c>
    </row>
    <row r="12" spans="2:13" x14ac:dyDescent="0.25">
      <c r="B12" s="3"/>
      <c r="C12" s="3" t="s">
        <v>6</v>
      </c>
      <c r="D12" s="3" t="s">
        <v>4</v>
      </c>
      <c r="E12" s="3" t="s">
        <v>7</v>
      </c>
      <c r="F12" s="4">
        <v>25437.5</v>
      </c>
      <c r="G12" s="4">
        <v>24890.166666666701</v>
      </c>
      <c r="H12" s="4">
        <f t="shared" si="2"/>
        <v>25163.83333333335</v>
      </c>
      <c r="I12" s="4">
        <v>25078.083333333299</v>
      </c>
      <c r="J12" s="4">
        <f t="shared" si="0"/>
        <v>-85.750000000050932</v>
      </c>
      <c r="K12" s="9">
        <f t="shared" si="1"/>
        <v>-3.4076684130021073E-3</v>
      </c>
      <c r="M12" s="23"/>
    </row>
    <row r="13" spans="2:13" x14ac:dyDescent="0.25">
      <c r="B13" s="1" t="s">
        <v>11</v>
      </c>
      <c r="C13" s="1" t="s">
        <v>20</v>
      </c>
      <c r="D13" s="1" t="s">
        <v>4</v>
      </c>
      <c r="E13" s="1" t="s">
        <v>5</v>
      </c>
      <c r="F13" s="2">
        <v>808682</v>
      </c>
      <c r="G13" s="2">
        <v>689964.42267254705</v>
      </c>
      <c r="H13" s="2">
        <f t="shared" si="2"/>
        <v>1498646.4226725469</v>
      </c>
      <c r="I13" s="2">
        <v>1443313.3956309101</v>
      </c>
      <c r="J13" s="2">
        <f t="shared" si="0"/>
        <v>-55333.027041636873</v>
      </c>
      <c r="K13" s="8">
        <f t="shared" si="1"/>
        <v>-3.692200255144984E-2</v>
      </c>
    </row>
    <row r="14" spans="2:13" x14ac:dyDescent="0.25">
      <c r="B14" s="3"/>
      <c r="C14" s="3" t="s">
        <v>6</v>
      </c>
      <c r="D14" s="3" t="s">
        <v>4</v>
      </c>
      <c r="E14" s="3" t="s">
        <v>7</v>
      </c>
      <c r="F14" s="4">
        <v>243.666666666667</v>
      </c>
      <c r="G14" s="4">
        <v>244</v>
      </c>
      <c r="H14" s="4">
        <f t="shared" si="2"/>
        <v>243.83333333333348</v>
      </c>
      <c r="I14" s="4">
        <v>245.5</v>
      </c>
      <c r="J14" s="4">
        <f t="shared" si="0"/>
        <v>1.6666666666665151</v>
      </c>
      <c r="K14" s="9">
        <f t="shared" si="1"/>
        <v>6.8352699931641947E-3</v>
      </c>
      <c r="M14" s="23"/>
    </row>
    <row r="15" spans="2:13" x14ac:dyDescent="0.25">
      <c r="B15" s="1" t="s">
        <v>31</v>
      </c>
      <c r="C15" s="1" t="s">
        <v>20</v>
      </c>
      <c r="D15" s="1" t="s">
        <v>32</v>
      </c>
      <c r="E15" s="1" t="s">
        <v>5</v>
      </c>
      <c r="F15" s="2">
        <v>171949.9</v>
      </c>
      <c r="G15" s="2">
        <v>195389.9</v>
      </c>
      <c r="H15" s="2">
        <f t="shared" si="2"/>
        <v>367339.8</v>
      </c>
      <c r="I15" s="2">
        <v>404400.4</v>
      </c>
      <c r="J15" s="2">
        <f t="shared" si="0"/>
        <v>37060.600000000035</v>
      </c>
      <c r="K15" s="8">
        <f t="shared" si="1"/>
        <v>0.10088914950136085</v>
      </c>
    </row>
    <row r="16" spans="2:13" x14ac:dyDescent="0.25">
      <c r="B16" s="3"/>
      <c r="C16" s="3" t="s">
        <v>6</v>
      </c>
      <c r="D16" s="3" t="s">
        <v>32</v>
      </c>
      <c r="E16" s="3" t="s">
        <v>7</v>
      </c>
      <c r="F16" s="4">
        <v>1</v>
      </c>
      <c r="G16" s="4">
        <v>1</v>
      </c>
      <c r="H16" s="4">
        <f t="shared" si="2"/>
        <v>1</v>
      </c>
      <c r="I16" s="4">
        <v>1</v>
      </c>
      <c r="J16" s="4">
        <f t="shared" si="0"/>
        <v>0</v>
      </c>
      <c r="K16" s="9">
        <f t="shared" si="1"/>
        <v>0</v>
      </c>
      <c r="M16" s="23"/>
    </row>
    <row r="17" spans="2:13" x14ac:dyDescent="0.25">
      <c r="B17" s="1" t="s">
        <v>12</v>
      </c>
      <c r="C17" s="1" t="s">
        <v>20</v>
      </c>
      <c r="D17" s="1" t="s">
        <v>9</v>
      </c>
      <c r="E17" s="1" t="s">
        <v>5</v>
      </c>
      <c r="F17" s="2">
        <v>323051.3</v>
      </c>
      <c r="G17" s="2">
        <v>292160.56285161001</v>
      </c>
      <c r="H17" s="2">
        <f t="shared" si="2"/>
        <v>615211.86285160994</v>
      </c>
      <c r="I17" s="2">
        <v>571879.68053755304</v>
      </c>
      <c r="J17" s="2">
        <f t="shared" si="0"/>
        <v>-43332.182314056903</v>
      </c>
      <c r="K17" s="8">
        <f t="shared" si="1"/>
        <v>-7.0434568854386148E-2</v>
      </c>
    </row>
    <row r="18" spans="2:13" x14ac:dyDescent="0.25">
      <c r="B18" s="3"/>
      <c r="C18" s="3" t="s">
        <v>6</v>
      </c>
      <c r="D18" s="3" t="s">
        <v>9</v>
      </c>
      <c r="E18" s="3" t="s">
        <v>7</v>
      </c>
      <c r="F18" s="4">
        <v>9</v>
      </c>
      <c r="G18" s="4">
        <v>9</v>
      </c>
      <c r="H18" s="4">
        <f t="shared" si="2"/>
        <v>9</v>
      </c>
      <c r="I18" s="4">
        <v>9</v>
      </c>
      <c r="J18" s="4">
        <f t="shared" si="0"/>
        <v>0</v>
      </c>
      <c r="K18" s="9">
        <f t="shared" si="1"/>
        <v>0</v>
      </c>
      <c r="M18" s="23"/>
    </row>
    <row r="19" spans="2:13" x14ac:dyDescent="0.25">
      <c r="B19" s="1" t="s">
        <v>13</v>
      </c>
      <c r="C19" s="1" t="s">
        <v>20</v>
      </c>
      <c r="D19" s="1" t="s">
        <v>9</v>
      </c>
      <c r="E19" s="1" t="s">
        <v>5</v>
      </c>
      <c r="F19" s="2">
        <v>6980845.7999999998</v>
      </c>
      <c r="G19" s="2">
        <v>6533752.6991616096</v>
      </c>
      <c r="H19" s="2">
        <f t="shared" si="2"/>
        <v>13514598.499161609</v>
      </c>
      <c r="I19" s="2">
        <v>12719847.069765</v>
      </c>
      <c r="J19" s="2">
        <f t="shared" si="0"/>
        <v>-794751.42939660884</v>
      </c>
      <c r="K19" s="8">
        <f t="shared" si="1"/>
        <v>-5.8806884233069345E-2</v>
      </c>
    </row>
    <row r="20" spans="2:13" x14ac:dyDescent="0.25">
      <c r="B20" s="3"/>
      <c r="C20" s="3" t="s">
        <v>6</v>
      </c>
      <c r="D20" s="3" t="s">
        <v>9</v>
      </c>
      <c r="E20" s="3" t="s">
        <v>7</v>
      </c>
      <c r="F20" s="4">
        <v>64.8333333333333</v>
      </c>
      <c r="G20" s="4">
        <v>66.6666666666667</v>
      </c>
      <c r="H20" s="4">
        <f t="shared" si="2"/>
        <v>65.75</v>
      </c>
      <c r="I20" s="4">
        <v>68</v>
      </c>
      <c r="J20" s="4">
        <f t="shared" si="0"/>
        <v>2.25</v>
      </c>
      <c r="K20" s="9">
        <f t="shared" si="1"/>
        <v>3.4220532319391594E-2</v>
      </c>
      <c r="M20" s="23"/>
    </row>
    <row r="21" spans="2:13" x14ac:dyDescent="0.25">
      <c r="B21" s="1" t="s">
        <v>14</v>
      </c>
      <c r="C21" s="1" t="s">
        <v>20</v>
      </c>
      <c r="D21" s="1" t="s">
        <v>4</v>
      </c>
      <c r="E21" s="1" t="s">
        <v>5</v>
      </c>
      <c r="F21" s="2">
        <v>14113518.300000001</v>
      </c>
      <c r="G21" s="2">
        <v>6768925.1110172598</v>
      </c>
      <c r="H21" s="2">
        <f t="shared" si="2"/>
        <v>20882443.411017261</v>
      </c>
      <c r="I21" s="2">
        <v>19344464.8998488</v>
      </c>
      <c r="J21" s="2">
        <f t="shared" si="0"/>
        <v>-1537978.5111684613</v>
      </c>
      <c r="K21" s="8">
        <f t="shared" si="1"/>
        <v>-7.3649356107295727E-2</v>
      </c>
    </row>
    <row r="22" spans="2:13" x14ac:dyDescent="0.25">
      <c r="B22" s="3"/>
      <c r="C22" s="3" t="s">
        <v>6</v>
      </c>
      <c r="D22" s="3" t="s">
        <v>4</v>
      </c>
      <c r="E22" s="3" t="s">
        <v>7</v>
      </c>
      <c r="F22" s="4">
        <v>298447.5</v>
      </c>
      <c r="G22" s="4">
        <v>297376.16666666698</v>
      </c>
      <c r="H22" s="4">
        <f t="shared" si="2"/>
        <v>297911.83333333349</v>
      </c>
      <c r="I22" s="4">
        <v>298980.08333333302</v>
      </c>
      <c r="J22" s="4">
        <f t="shared" si="0"/>
        <v>1068.2499999995343</v>
      </c>
      <c r="K22" s="9">
        <f t="shared" si="1"/>
        <v>3.5857924408269071E-3</v>
      </c>
      <c r="M22" s="23"/>
    </row>
    <row r="23" spans="2:13" x14ac:dyDescent="0.25">
      <c r="B23" s="13" t="s">
        <v>38</v>
      </c>
      <c r="C23" s="13" t="s">
        <v>20</v>
      </c>
      <c r="D23" s="13" t="s">
        <v>4</v>
      </c>
      <c r="E23" s="1" t="s">
        <v>5</v>
      </c>
      <c r="F23" s="14">
        <v>12225.7</v>
      </c>
      <c r="G23" s="44">
        <v>683.35527061099901</v>
      </c>
      <c r="H23" s="2">
        <f>IF(LEFT(E23,7)="Average",AVERAGE(F23:G23),SUM(F23:G23))</f>
        <v>12909.055270610999</v>
      </c>
      <c r="I23" s="14">
        <v>1497.86660498375</v>
      </c>
      <c r="J23" s="2">
        <f t="shared" si="0"/>
        <v>-11411.188665627249</v>
      </c>
      <c r="K23" s="8">
        <f t="shared" si="1"/>
        <v>-0.88396775956224916</v>
      </c>
      <c r="M23" s="23"/>
    </row>
    <row r="24" spans="2:13" x14ac:dyDescent="0.25">
      <c r="B24" s="3"/>
      <c r="C24" s="3" t="s">
        <v>6</v>
      </c>
      <c r="D24" s="3" t="s">
        <v>4</v>
      </c>
      <c r="E24" s="3" t="s">
        <v>7</v>
      </c>
      <c r="F24" s="4">
        <v>1</v>
      </c>
      <c r="G24" s="4">
        <v>1</v>
      </c>
      <c r="H24" s="4">
        <f>IF(LEFT(E24,7)="Average",AVERAGE(F24:G24),SUM(F24:G24))</f>
        <v>1</v>
      </c>
      <c r="I24" s="4">
        <v>1</v>
      </c>
      <c r="J24" s="4">
        <f t="shared" si="0"/>
        <v>0</v>
      </c>
      <c r="K24" s="9">
        <f t="shared" si="1"/>
        <v>0</v>
      </c>
      <c r="M24" s="23"/>
    </row>
    <row r="25" spans="2:13" x14ac:dyDescent="0.25">
      <c r="B25" s="1" t="s">
        <v>15</v>
      </c>
      <c r="C25" s="1" t="s">
        <v>20</v>
      </c>
      <c r="D25" s="1" t="s">
        <v>9</v>
      </c>
      <c r="E25" s="1" t="s">
        <v>5</v>
      </c>
      <c r="F25" s="2">
        <v>95929.3</v>
      </c>
      <c r="G25" s="2">
        <v>77446.527778499294</v>
      </c>
      <c r="H25" s="2">
        <f t="shared" si="2"/>
        <v>173375.82777849928</v>
      </c>
      <c r="I25" s="2">
        <v>69850.904006059995</v>
      </c>
      <c r="J25" s="2">
        <f t="shared" si="0"/>
        <v>-103524.92377243929</v>
      </c>
      <c r="K25" s="8">
        <f t="shared" si="1"/>
        <v>-0.59711278728370487</v>
      </c>
    </row>
    <row r="26" spans="2:13" x14ac:dyDescent="0.25">
      <c r="B26" s="3"/>
      <c r="C26" s="3" t="s">
        <v>6</v>
      </c>
      <c r="D26" s="3" t="s">
        <v>9</v>
      </c>
      <c r="E26" s="3" t="s">
        <v>7</v>
      </c>
      <c r="F26" s="4">
        <v>2</v>
      </c>
      <c r="G26" s="4">
        <v>1.6666666666666701</v>
      </c>
      <c r="H26" s="4">
        <f t="shared" si="2"/>
        <v>1.833333333333335</v>
      </c>
      <c r="I26" s="4">
        <v>1</v>
      </c>
      <c r="J26" s="4">
        <f t="shared" si="0"/>
        <v>-0.83333333333333504</v>
      </c>
      <c r="K26" s="9">
        <f t="shared" si="1"/>
        <v>-0.45454545454545503</v>
      </c>
      <c r="M26" s="23"/>
    </row>
    <row r="27" spans="2:13" x14ac:dyDescent="0.25">
      <c r="B27" s="1" t="s">
        <v>16</v>
      </c>
      <c r="C27" s="1" t="s">
        <v>20</v>
      </c>
      <c r="D27" s="1" t="s">
        <v>9</v>
      </c>
      <c r="E27" s="1" t="s">
        <v>5</v>
      </c>
      <c r="F27" s="2">
        <v>184322</v>
      </c>
      <c r="G27" s="2">
        <v>265156.528272653</v>
      </c>
      <c r="H27" s="2">
        <f t="shared" si="2"/>
        <v>449478.528272653</v>
      </c>
      <c r="I27" s="2">
        <v>350351.920966506</v>
      </c>
      <c r="J27" s="2">
        <f t="shared" si="0"/>
        <v>-99126.607306146994</v>
      </c>
      <c r="K27" s="8">
        <f t="shared" si="1"/>
        <v>-0.22053691349193205</v>
      </c>
    </row>
    <row r="28" spans="2:13" x14ac:dyDescent="0.25">
      <c r="B28" s="3"/>
      <c r="C28" s="3" t="s">
        <v>6</v>
      </c>
      <c r="D28" s="3" t="s">
        <v>9</v>
      </c>
      <c r="E28" s="3" t="s">
        <v>7</v>
      </c>
      <c r="F28" s="4">
        <v>5.8333333332999997</v>
      </c>
      <c r="G28" s="4">
        <v>5.6666666666666696</v>
      </c>
      <c r="H28" s="4">
        <f t="shared" si="2"/>
        <v>5.7499999999833342</v>
      </c>
      <c r="I28" s="5">
        <v>5</v>
      </c>
      <c r="J28" s="4">
        <f t="shared" si="0"/>
        <v>-0.74999999998333422</v>
      </c>
      <c r="K28" s="9">
        <f t="shared" si="1"/>
        <v>-0.13043478260617536</v>
      </c>
      <c r="M28" s="23"/>
    </row>
    <row r="29" spans="2:13" x14ac:dyDescent="0.25">
      <c r="B29" s="33" t="s">
        <v>26</v>
      </c>
      <c r="C29" s="1"/>
      <c r="D29" s="1"/>
      <c r="E29" s="1"/>
      <c r="F29" s="1"/>
      <c r="G29" s="1"/>
      <c r="H29" s="34"/>
      <c r="I29" s="1"/>
      <c r="J29" s="1"/>
      <c r="K29" s="1"/>
    </row>
    <row r="30" spans="2:13" s="10" customFormat="1" x14ac:dyDescent="0.25">
      <c r="B30" s="13" t="s">
        <v>18</v>
      </c>
      <c r="C30" s="13" t="s">
        <v>20</v>
      </c>
      <c r="D30" s="13" t="s">
        <v>4</v>
      </c>
      <c r="E30" s="13" t="s">
        <v>5</v>
      </c>
      <c r="F30" s="14">
        <v>-2198491</v>
      </c>
      <c r="G30" s="13"/>
      <c r="H30" s="14">
        <v>-2198491</v>
      </c>
      <c r="I30" s="14"/>
      <c r="J30" s="15">
        <v>2198491</v>
      </c>
      <c r="K30" s="36">
        <v>-1</v>
      </c>
    </row>
    <row r="31" spans="2:13" s="10" customFormat="1" x14ac:dyDescent="0.25">
      <c r="B31" s="7" t="s">
        <v>22</v>
      </c>
      <c r="C31" s="3" t="s">
        <v>20</v>
      </c>
      <c r="D31" s="3" t="s">
        <v>4</v>
      </c>
      <c r="E31" s="3" t="s">
        <v>5</v>
      </c>
      <c r="F31" s="14">
        <v>-1052024</v>
      </c>
      <c r="G31" s="13"/>
      <c r="H31" s="14">
        <v>-1052024</v>
      </c>
      <c r="I31" s="14"/>
      <c r="J31" s="15">
        <v>1052024</v>
      </c>
      <c r="K31" s="36">
        <v>-1</v>
      </c>
      <c r="M31" s="21"/>
    </row>
    <row r="32" spans="2:13" s="10" customFormat="1" x14ac:dyDescent="0.25">
      <c r="B32" s="16" t="s">
        <v>19</v>
      </c>
      <c r="C32" s="17" t="s">
        <v>20</v>
      </c>
      <c r="D32" s="17" t="s">
        <v>4</v>
      </c>
      <c r="E32" s="17" t="s">
        <v>5</v>
      </c>
      <c r="F32" s="6">
        <f>+SUM(F30:F31)</f>
        <v>-3250515</v>
      </c>
      <c r="G32" s="17"/>
      <c r="H32" s="6">
        <f>+SUM(H30:H31)</f>
        <v>-3250515</v>
      </c>
      <c r="I32" s="6"/>
      <c r="J32" s="18">
        <f t="shared" ref="J32" si="3">IF(H32="","",I32-H32)</f>
        <v>3250515</v>
      </c>
      <c r="K32" s="37">
        <f t="shared" ref="K32" si="4">IF(H32="","",I32/H32-1)</f>
        <v>-1</v>
      </c>
    </row>
    <row r="33" spans="2:12" s="10" customFormat="1" x14ac:dyDescent="0.25">
      <c r="B33" s="27"/>
      <c r="F33" s="11"/>
      <c r="H33" s="11"/>
      <c r="I33" s="11"/>
      <c r="J33" s="25"/>
      <c r="K33" s="28"/>
    </row>
    <row r="34" spans="2:12" s="10" customFormat="1" x14ac:dyDescent="0.25">
      <c r="B34" s="27"/>
      <c r="F34" s="11"/>
      <c r="H34" s="11"/>
      <c r="I34" s="11"/>
      <c r="J34" s="25"/>
      <c r="K34" s="28"/>
    </row>
    <row r="35" spans="2:12" x14ac:dyDescent="0.25">
      <c r="B35" s="1" t="s">
        <v>29</v>
      </c>
      <c r="C35" s="1" t="s">
        <v>20</v>
      </c>
      <c r="D35" s="1" t="s">
        <v>23</v>
      </c>
      <c r="E35" s="1" t="s">
        <v>5</v>
      </c>
      <c r="F35" s="2">
        <f>SUMIF($C$5:$C$28,"Gas Volumes",$F$5:$F$28)+F32</f>
        <v>26862830.300000001</v>
      </c>
      <c r="G35" s="2">
        <f>SUMIF($C$5:$C$28,"Gas Volumes",$G$5:$G$28)</f>
        <v>18650920.846982487</v>
      </c>
      <c r="H35" s="2">
        <f>SUMIF($C$5:$C$28,"Gas Volumes",$H$5:$H$28)+H32</f>
        <v>45513751.146982491</v>
      </c>
      <c r="I35" s="2">
        <f>SUMIF($C$5:$C$28,"Gas Volumes",$I$5:$I$28)</f>
        <v>45002995.699959911</v>
      </c>
      <c r="J35" s="2">
        <f>IF(H35="","",I35-H35)</f>
        <v>-510755.44702257961</v>
      </c>
      <c r="K35" s="8">
        <f>IF(H35="","",I35/H35-1)</f>
        <v>-1.1222002892557481E-2</v>
      </c>
    </row>
    <row r="36" spans="2:12" x14ac:dyDescent="0.25">
      <c r="B36" s="7" t="s">
        <v>17</v>
      </c>
      <c r="C36" s="3" t="s">
        <v>6</v>
      </c>
      <c r="D36" s="3" t="s">
        <v>23</v>
      </c>
      <c r="E36" s="3" t="s">
        <v>7</v>
      </c>
      <c r="F36" s="4">
        <f>SUMIF($C$5:$C$28,"Customers",$F$5:$F$28)</f>
        <v>324217.5</v>
      </c>
      <c r="G36" s="4">
        <f>SUMIF($C$5:$C$28,"Customers",$G$5:$G$28)</f>
        <v>322601.33333333372</v>
      </c>
      <c r="H36" s="4">
        <f>SUMIF($C$5:$C$28,"Customers",$H$5:$H$28)</f>
        <v>323409.4166666668</v>
      </c>
      <c r="I36" s="5">
        <f>SUMIF($C$5:$C$28,"Customers",$I$5:$I$28)</f>
        <v>324394.66666666634</v>
      </c>
      <c r="J36" s="4">
        <f>IF(H36="","",I36-H36)</f>
        <v>985.24999999953434</v>
      </c>
      <c r="K36" s="9">
        <f>IF(H36="","",I36/H36-1)</f>
        <v>3.0464480909504488E-3</v>
      </c>
    </row>
    <row r="37" spans="2:12" x14ac:dyDescent="0.25">
      <c r="B37" s="10"/>
      <c r="C37" s="10"/>
      <c r="D37" s="10"/>
      <c r="E37" s="10"/>
      <c r="F37" s="11"/>
      <c r="G37" s="11"/>
      <c r="H37" s="11"/>
      <c r="I37" s="11"/>
      <c r="J37" s="11"/>
      <c r="K37" s="12"/>
    </row>
    <row r="38" spans="2:12" x14ac:dyDescent="0.25">
      <c r="B38" s="24" t="s">
        <v>25</v>
      </c>
      <c r="C38" s="1" t="s">
        <v>20</v>
      </c>
      <c r="D38" s="1" t="s">
        <v>4</v>
      </c>
      <c r="E38" s="1" t="s">
        <v>5</v>
      </c>
      <c r="F38" s="2">
        <f>+SUMIFS(F$5:F$28,$C$5:$C$28,"Gas Volumes",$D$5:$D$28,$D38)+F32</f>
        <v>19106732</v>
      </c>
      <c r="G38" s="2">
        <f>+SUMIFS(G$5:G$28,$C$5:$C$28,"Gas Volumes",$D$5:$D$28,$D38)</f>
        <v>11287014.628918119</v>
      </c>
      <c r="H38" s="2">
        <f>+SUMIFS(H$5:H$28,$C$5:$C$28,"Gas Volumes",$D$5:$D$28,$D38)+H32</f>
        <v>30393746.628918119</v>
      </c>
      <c r="I38" s="2">
        <f>+SUMIFS(I$5:I$28,$C$5:$C$28,"Gas Volumes",$D$5:$D$28,$D38)</f>
        <v>30886665.72468479</v>
      </c>
      <c r="J38" s="2">
        <f>IF(H38="","",I38-H38)</f>
        <v>492919.095766671</v>
      </c>
      <c r="K38" s="8">
        <f t="shared" ref="K38" si="5">IF(H38="","",I38/H38-1)</f>
        <v>1.6217779985626457E-2</v>
      </c>
    </row>
    <row r="39" spans="2:12" x14ac:dyDescent="0.25">
      <c r="B39" s="7" t="s">
        <v>17</v>
      </c>
      <c r="C39" s="3" t="s">
        <v>6</v>
      </c>
      <c r="D39" s="3" t="s">
        <v>4</v>
      </c>
      <c r="E39" s="3" t="s">
        <v>7</v>
      </c>
      <c r="F39" s="4">
        <f>+SUMIFS(F$5:F$28,$C$5:$C$28,"Customers",$D$5:$D$28,$D39)</f>
        <v>324134.83333333331</v>
      </c>
      <c r="G39" s="4">
        <f>+SUMIFS(G$5:G$28,$C$5:$C$28,"Customers",$D$5:$D$28,$D39)</f>
        <v>322517.33333333366</v>
      </c>
      <c r="H39" s="4">
        <f>+SUMIFS(H$5:H$28,$C$5:$C$28,"Customers",$D$5:$D$28,$D39)</f>
        <v>323326.08333333349</v>
      </c>
      <c r="I39" s="5">
        <f>+SUMIFS(I$5:I$28,$C$5:$C$28,"Customers",$D$5:$D$28,$D39)</f>
        <v>324310.66666666634</v>
      </c>
      <c r="J39" s="4">
        <f>IF(H39="","",I39-H39)</f>
        <v>984.58333333284827</v>
      </c>
      <c r="K39" s="9">
        <f>IF(H39="","",I39/H39-1)</f>
        <v>3.0451713736865393E-3</v>
      </c>
    </row>
    <row r="40" spans="2:12" x14ac:dyDescent="0.25">
      <c r="B40" s="10"/>
      <c r="C40" s="10"/>
      <c r="D40" s="10"/>
      <c r="E40" s="10"/>
      <c r="F40" s="11"/>
      <c r="G40" s="11"/>
      <c r="H40" s="11"/>
      <c r="I40" s="11"/>
      <c r="J40" s="11"/>
      <c r="K40" s="12"/>
    </row>
    <row r="41" spans="2:12" x14ac:dyDescent="0.25">
      <c r="B41" s="1" t="s">
        <v>24</v>
      </c>
      <c r="C41" s="1" t="s">
        <v>20</v>
      </c>
      <c r="D41" s="1" t="s">
        <v>9</v>
      </c>
      <c r="E41" s="1" t="s">
        <v>5</v>
      </c>
      <c r="F41" s="2">
        <f>+SUMIFS(F$5:F$28,$C$5:$C$28,"Gas Volumes",$D$5:$D$28,$D41)</f>
        <v>7584148.3999999994</v>
      </c>
      <c r="G41" s="2">
        <f>+SUMIFS(G$5:G$28,$C$5:$C$28,"Gas Volumes",$D$5:$D$28,$D41)</f>
        <v>7168516.3180643711</v>
      </c>
      <c r="H41" s="2">
        <f>+SUMIFS(H$5:H$28,$C$5:$C$28,"Gas Volumes",$D$5:$D$28,$D41)</f>
        <v>14752664.718064371</v>
      </c>
      <c r="I41" s="2">
        <f>+SUMIFS(I$5:I$28,$C$5:$C$28,"Gas Volumes",$D$5:$D$28,$D41)</f>
        <v>13711929.575275119</v>
      </c>
      <c r="J41" s="2">
        <f>IF(H41="","",I41-H41)</f>
        <v>-1040735.1427892521</v>
      </c>
      <c r="K41" s="8">
        <f t="shared" ref="K41:K42" si="6">IF(H41="","",I41/H41-1)</f>
        <v>-7.0545570083680564E-2</v>
      </c>
    </row>
    <row r="42" spans="2:12" x14ac:dyDescent="0.25">
      <c r="B42" s="7" t="s">
        <v>17</v>
      </c>
      <c r="C42" s="3" t="s">
        <v>6</v>
      </c>
      <c r="D42" s="3" t="s">
        <v>9</v>
      </c>
      <c r="E42" s="3" t="s">
        <v>7</v>
      </c>
      <c r="F42" s="4">
        <f>+SUMIFS(F$5:F$28,$C$5:$C$28,"Customers",$D$5:$D$28,$D42)</f>
        <v>81.666666666633304</v>
      </c>
      <c r="G42" s="4">
        <f>+SUMIFS(G$5:G$28,$C$5:$C$28,"Customers",$D$5:$D$28,$D42)</f>
        <v>83.000000000000043</v>
      </c>
      <c r="H42" s="4">
        <f>+SUMIFS(H$5:H$28,$C$5:$C$28,"Customers",$D$5:$D$28,$D42)</f>
        <v>82.333333333316659</v>
      </c>
      <c r="I42" s="5">
        <f>+SUMIFS(I$5:I$28,$C$5:$C$28,"Customers",$D$5:$D$28,$D42)</f>
        <v>83</v>
      </c>
      <c r="J42" s="4">
        <f t="shared" ref="J42" si="7">IF(H42="","",I42-H42)</f>
        <v>0.66666666668334074</v>
      </c>
      <c r="K42" s="9">
        <f t="shared" si="6"/>
        <v>8.0971659921069694E-3</v>
      </c>
    </row>
    <row r="43" spans="2:12" x14ac:dyDescent="0.25">
      <c r="B43" s="29"/>
      <c r="C43" s="30"/>
      <c r="D43" s="30"/>
      <c r="E43" s="30"/>
      <c r="F43" s="30"/>
      <c r="G43" s="30"/>
      <c r="H43" s="30"/>
      <c r="I43" s="30"/>
      <c r="J43" s="30"/>
      <c r="K43" s="30"/>
      <c r="L43" s="20"/>
    </row>
    <row r="44" spans="2:12" x14ac:dyDescent="0.25">
      <c r="B44" s="1" t="s">
        <v>33</v>
      </c>
      <c r="C44" s="1" t="s">
        <v>20</v>
      </c>
      <c r="D44" s="1" t="s">
        <v>32</v>
      </c>
      <c r="E44" s="1" t="s">
        <v>5</v>
      </c>
      <c r="F44" s="2">
        <f>+SUMIFS(F$5:F$28,$C$5:$C$28,"Gas Volumes",$D$5:$D$28,"Generation")</f>
        <v>171949.9</v>
      </c>
      <c r="G44" s="2">
        <f>+SUMIFS(G$5:G$28,$C$5:$C$28,"Gas Volumes",$D$5:$D$28,"Generation")</f>
        <v>195389.9</v>
      </c>
      <c r="H44" s="2">
        <f>+SUMIFS(H$5:H$28,$C$5:$C$28,"Gas Volumes",$D$5:$D$28,"Generation")</f>
        <v>367339.8</v>
      </c>
      <c r="I44" s="2">
        <f>+SUMIFS(I$5:I$28,$C$5:$C$28,"Gas Volumes",$D$5:$D$28,"Generation")</f>
        <v>404400.4</v>
      </c>
      <c r="J44" s="2">
        <f>IF(H44="","",I44-H44)</f>
        <v>37060.600000000035</v>
      </c>
      <c r="K44" s="8">
        <f t="shared" ref="K44:K45" si="8">IF(H44="","",I44/H44-1)</f>
        <v>0.10088914950136085</v>
      </c>
    </row>
    <row r="45" spans="2:12" x14ac:dyDescent="0.25">
      <c r="B45" s="7" t="s">
        <v>17</v>
      </c>
      <c r="C45" s="3" t="s">
        <v>6</v>
      </c>
      <c r="D45" s="3" t="s">
        <v>32</v>
      </c>
      <c r="E45" s="3" t="s">
        <v>7</v>
      </c>
      <c r="F45" s="4">
        <f>+SUMIFS(F$5:F$28,$C$5:$C$28,"Customers",$D$5:$D$28,"Generation")</f>
        <v>1</v>
      </c>
      <c r="G45" s="4">
        <f>+SUMIFS(G$5:G$28,$C$5:$C$28,"Customers",$D$5:$D$28,"Generation")</f>
        <v>1</v>
      </c>
      <c r="H45" s="4">
        <f>+SUMIFS(H$5:H$28,$C$5:$C$28,"Customers",$D$5:$D$28,"Generation")</f>
        <v>1</v>
      </c>
      <c r="I45" s="5">
        <f>+SUMIFS(I$5:I$28,$C$5:$C$28,"Customers",$D$5:$D$28,"Generation")</f>
        <v>1</v>
      </c>
      <c r="J45" s="4">
        <f t="shared" ref="J45" si="9">IF(H45="","",I45-H45)</f>
        <v>0</v>
      </c>
      <c r="K45" s="9">
        <f t="shared" si="8"/>
        <v>0</v>
      </c>
    </row>
    <row r="46" spans="2:12" x14ac:dyDescent="0.25">
      <c r="B46" s="29"/>
      <c r="C46" s="30"/>
      <c r="D46" s="30"/>
      <c r="E46" s="30"/>
      <c r="F46" s="30"/>
      <c r="G46" s="30"/>
      <c r="H46" s="30"/>
      <c r="I46" s="30"/>
      <c r="J46" s="30"/>
      <c r="K46" s="30"/>
      <c r="L46" s="20"/>
    </row>
    <row r="47" spans="2:12" ht="24.95" customHeight="1" x14ac:dyDescent="0.25">
      <c r="B47" s="48" t="s">
        <v>27</v>
      </c>
      <c r="C47" s="48"/>
      <c r="D47" s="48"/>
      <c r="E47" s="48"/>
      <c r="F47" s="48"/>
      <c r="G47" s="48"/>
      <c r="H47" s="48"/>
      <c r="I47" s="48"/>
      <c r="J47" s="48"/>
      <c r="K47" s="48"/>
      <c r="L47" s="31"/>
    </row>
    <row r="48" spans="2:12" x14ac:dyDescent="0.25">
      <c r="B48" s="48"/>
      <c r="C48" s="48"/>
      <c r="D48" s="48"/>
      <c r="E48" s="48"/>
      <c r="F48" s="48"/>
      <c r="G48" s="48"/>
      <c r="H48" s="48"/>
      <c r="I48" s="48"/>
      <c r="J48" s="48"/>
      <c r="K48" s="48"/>
      <c r="L48" s="31"/>
    </row>
    <row r="49" spans="2:12" ht="86.25" customHeight="1" x14ac:dyDescent="0.25">
      <c r="B49" s="48" t="s">
        <v>40</v>
      </c>
      <c r="C49" s="48"/>
      <c r="D49" s="48"/>
      <c r="E49" s="48"/>
      <c r="F49" s="48"/>
      <c r="G49" s="48"/>
      <c r="H49" s="48"/>
      <c r="I49" s="48"/>
      <c r="J49" s="48"/>
      <c r="K49" s="48"/>
      <c r="L49" s="48"/>
    </row>
    <row r="50" spans="2:12" s="10" customFormat="1" x14ac:dyDescent="0.25">
      <c r="H50" s="11"/>
      <c r="I50" s="11"/>
      <c r="J50" s="25"/>
      <c r="K50" s="26"/>
    </row>
    <row r="51" spans="2:12" s="10" customFormat="1" x14ac:dyDescent="0.25">
      <c r="H51" s="11"/>
      <c r="I51" s="11"/>
      <c r="J51" s="25"/>
      <c r="K51" s="26"/>
    </row>
    <row r="52" spans="2:12" s="10" customFormat="1" x14ac:dyDescent="0.25">
      <c r="H52" s="11"/>
      <c r="I52" s="11"/>
      <c r="J52" s="25"/>
      <c r="K52" s="26"/>
    </row>
    <row r="53" spans="2:12" s="10" customFormat="1" x14ac:dyDescent="0.25">
      <c r="B53" s="27"/>
      <c r="H53" s="11"/>
      <c r="I53" s="11"/>
      <c r="J53" s="11"/>
      <c r="K53" s="26"/>
    </row>
    <row r="54" spans="2:12" s="10" customFormat="1" x14ac:dyDescent="0.25"/>
    <row r="55" spans="2:12" s="10" customFormat="1" x14ac:dyDescent="0.25"/>
    <row r="56" spans="2:12" s="10" customFormat="1" x14ac:dyDescent="0.25"/>
    <row r="57" spans="2:12" s="10" customFormat="1" x14ac:dyDescent="0.25"/>
  </sheetData>
  <mergeCells count="4">
    <mergeCell ref="F3:H3"/>
    <mergeCell ref="B47:K48"/>
    <mergeCell ref="B49:L49"/>
    <mergeCell ref="I3:I4"/>
  </mergeCells>
  <pageMargins left="0.7" right="0.7" top="0.75" bottom="0.75" header="0.3" footer="0.3"/>
  <pageSetup scale="57" fitToHeight="0" orientation="landscape" r:id="rId1"/>
  <headerFooter>
    <oddHeader>&amp;R&amp;"-,Bold"&amp;14Exhibit DSS-3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2018-10-09T19:58:08Z</dcterms:created>
  <dcterms:modified xsi:type="dcterms:W3CDTF">2018-10-10T15:10:57Z</dcterms:modified>
</cp:coreProperties>
</file>