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10" windowWidth="21780" windowHeight="8070" tabRatio="772" activeTab="3"/>
  </bookViews>
  <sheets>
    <sheet name="Rate Case Constants" sheetId="39" r:id="rId1"/>
    <sheet name="INPUT" sheetId="5" r:id="rId2"/>
    <sheet name="SCHEDULES===&gt;" sheetId="40" r:id="rId3"/>
    <sheet name="Rate RS-VFD" sheetId="4" r:id="rId4"/>
    <sheet name="Rate RTOD Energy" sheetId="33" r:id="rId5"/>
    <sheet name="Rate RTOD Demand" sheetId="32" r:id="rId6"/>
    <sheet name="Rate GS Single Phase" sheetId="27" r:id="rId7"/>
    <sheet name="Rate GS Three Phase" sheetId="41" r:id="rId8"/>
    <sheet name="Rate PS Secondary" sheetId="15" r:id="rId9"/>
    <sheet name="Rate PS Primary" sheetId="24" r:id="rId10"/>
    <sheet name="Rate TOD Secondary" sheetId="25" r:id="rId11"/>
    <sheet name="Rate TOD Primary" sheetId="37" r:id="rId12"/>
    <sheet name="Rate RTS" sheetId="26" r:id="rId13"/>
    <sheet name="Rate FLS Transmission" sheetId="42" r:id="rId14"/>
    <sheet name="Rate FLS Primary" sheetId="31" r:id="rId15"/>
    <sheet name="Special Contract" sheetId="43" r:id="rId16"/>
    <sheet name="Rate LS-RLS" sheetId="2" r:id="rId17"/>
    <sheet name="Rate LE" sheetId="35" r:id="rId18"/>
    <sheet name="Rate TE" sheetId="34" r:id="rId19"/>
    <sheet name="OSL Secondary" sheetId="44" r:id="rId20"/>
    <sheet name="OSL Primary" sheetId="45" r:id="rId21"/>
    <sheet name="Rate EVC" sheetId="46" r:id="rId22"/>
    <sheet name="Rate PSA" sheetId="36" r:id="rId23"/>
  </sheets>
  <definedNames>
    <definedName name="_xlnm._FilterDatabase" localSheetId="1" hidden="1">INPUT!$X$2:$X$119</definedName>
    <definedName name="_xlnm._FilterDatabase" localSheetId="16" hidden="1">'Rate LS-RLS'!$N$141:$R$266</definedName>
    <definedName name="_xlnm.Print_Area" localSheetId="1">INPUT!$A$1:$V$74</definedName>
    <definedName name="_xlnm.Print_Area" localSheetId="20">'OSL Primary'!$A$1:$P$45</definedName>
    <definedName name="_xlnm.Print_Area" localSheetId="19">'OSL Secondary'!$A$1:$P$44</definedName>
    <definedName name="_xlnm.Print_Area" localSheetId="21">'Rate EVC'!$A$1:$L$40</definedName>
    <definedName name="_xlnm.Print_Area" localSheetId="14">'Rate FLS Primary'!$A$1:$P$46</definedName>
    <definedName name="_xlnm.Print_Area" localSheetId="13">'Rate FLS Transmission'!$A$1:$P$46</definedName>
    <definedName name="_xlnm.Print_Area" localSheetId="6">'Rate GS Single Phase'!$A$1:$L$41</definedName>
    <definedName name="_xlnm.Print_Area" localSheetId="7">'Rate GS Three Phase'!$A$1:$L$41</definedName>
    <definedName name="_xlnm.Print_Area" localSheetId="17">'Rate LE'!$A$1:$K$41</definedName>
    <definedName name="_xlnm.Print_Area" localSheetId="16">'Rate LS-RLS'!$A$1:$K$282</definedName>
    <definedName name="_xlnm.Print_Area" localSheetId="9">'Rate PS Primary'!$A$1:$P$44</definedName>
    <definedName name="_xlnm.Print_Area" localSheetId="8">'Rate PS Secondary'!$A$1:$P$44</definedName>
    <definedName name="_xlnm.Print_Area" localSheetId="22">'Rate PSA'!$A$1:$H$39</definedName>
    <definedName name="_xlnm.Print_Area" localSheetId="3">'Rate RS-VFD'!$A$1:$L$40</definedName>
    <definedName name="_xlnm.Print_Area" localSheetId="5">'Rate RTOD Demand'!$A$1:$P$43</definedName>
    <definedName name="_xlnm.Print_Area" localSheetId="4">'Rate RTOD Energy'!$A$1:$L$40</definedName>
    <definedName name="_xlnm.Print_Area" localSheetId="12">'Rate RTS'!$A$1:$P$45</definedName>
    <definedName name="_xlnm.Print_Area" localSheetId="18">'Rate TE'!$A$1:$K$41</definedName>
    <definedName name="_xlnm.Print_Area" localSheetId="11">'Rate TOD Primary'!$A$1:$P$44</definedName>
    <definedName name="_xlnm.Print_Area" localSheetId="10">'Rate TOD Secondary'!$A$1:$Q$44</definedName>
    <definedName name="_xlnm.Print_Area" localSheetId="15">'Special Contract'!$A$1:$P$46</definedName>
  </definedNames>
  <calcPr calcId="152511"/>
</workbook>
</file>

<file path=xl/calcChain.xml><?xml version="1.0" encoding="utf-8"?>
<calcChain xmlns="http://schemas.openxmlformats.org/spreadsheetml/2006/main">
  <c r="AF36" i="25" l="1"/>
  <c r="AF32" i="25"/>
  <c r="V36" i="25"/>
  <c r="V32" i="25"/>
  <c r="AC32" i="24"/>
  <c r="AE32" i="25"/>
  <c r="W32" i="25"/>
  <c r="W28" i="25"/>
  <c r="W24" i="25"/>
  <c r="V24" i="25"/>
  <c r="V28" i="25"/>
  <c r="Y32" i="25"/>
  <c r="W36" i="25"/>
  <c r="W34" i="25"/>
  <c r="W33" i="25"/>
  <c r="AG32" i="25"/>
  <c r="AH32" i="25"/>
  <c r="AH36" i="25"/>
  <c r="AG36" i="25"/>
  <c r="X32" i="25"/>
  <c r="X28" i="25"/>
  <c r="V33" i="25"/>
  <c r="U33" i="25"/>
  <c r="U32" i="25"/>
  <c r="AI32" i="25" l="1"/>
  <c r="K245" i="2"/>
  <c r="L27" i="39"/>
  <c r="J26" i="39"/>
  <c r="J27" i="39"/>
  <c r="J28" i="39"/>
  <c r="J29" i="39"/>
  <c r="J30" i="39" s="1"/>
  <c r="J31" i="39" s="1"/>
  <c r="J32" i="39" s="1"/>
  <c r="J33" i="39" s="1"/>
  <c r="A281" i="2"/>
  <c r="K254" i="2"/>
  <c r="J254" i="2"/>
  <c r="I254" i="2"/>
  <c r="F254" i="2"/>
  <c r="E254" i="2"/>
  <c r="AH38" i="25"/>
  <c r="AH37" i="25"/>
  <c r="AH34" i="25"/>
  <c r="AH33" i="25"/>
  <c r="AH30" i="25"/>
  <c r="AH29" i="25"/>
  <c r="AH26" i="25"/>
  <c r="AH25" i="25"/>
  <c r="AH22" i="25"/>
  <c r="AH21" i="25"/>
  <c r="AH28" i="25"/>
  <c r="AH24" i="25"/>
  <c r="AH20" i="25"/>
  <c r="AG38" i="25"/>
  <c r="AG37" i="25"/>
  <c r="AG34" i="25"/>
  <c r="AG33" i="25"/>
  <c r="AG30" i="25"/>
  <c r="AG29" i="25"/>
  <c r="AG28" i="25"/>
  <c r="AG26" i="25"/>
  <c r="AG25" i="25"/>
  <c r="AG24" i="25"/>
  <c r="AG22" i="25"/>
  <c r="AG21" i="25"/>
  <c r="AG20" i="25"/>
  <c r="AF38" i="25"/>
  <c r="AF37" i="25"/>
  <c r="AF34" i="25"/>
  <c r="AF33" i="25"/>
  <c r="AF30" i="25"/>
  <c r="AF29" i="25"/>
  <c r="AF28" i="25"/>
  <c r="AF26" i="25"/>
  <c r="AF25" i="25"/>
  <c r="AF24" i="25"/>
  <c r="AF22" i="25"/>
  <c r="AF21" i="25"/>
  <c r="W38" i="25" l="1"/>
  <c r="W37" i="25"/>
  <c r="H20" i="25" l="1"/>
  <c r="AF20" i="25"/>
  <c r="AF17" i="25"/>
  <c r="U20" i="25"/>
  <c r="U38" i="25"/>
  <c r="U37" i="25"/>
  <c r="U36" i="25"/>
  <c r="U34" i="25"/>
  <c r="U30" i="25"/>
  <c r="U29" i="25"/>
  <c r="U28" i="25"/>
  <c r="U26" i="25"/>
  <c r="U25" i="25"/>
  <c r="U24" i="25"/>
  <c r="U22" i="25"/>
  <c r="U21" i="25"/>
  <c r="V7" i="25" l="1"/>
  <c r="V5" i="25"/>
  <c r="V3" i="25"/>
  <c r="F20" i="25"/>
  <c r="A36" i="25" l="1"/>
  <c r="A32" i="25"/>
  <c r="A20" i="25"/>
  <c r="A28" i="25"/>
  <c r="A24" i="25"/>
  <c r="R277" i="2"/>
  <c r="T277" i="2" s="1"/>
  <c r="H277" i="2" s="1"/>
  <c r="Q277" i="2"/>
  <c r="D277" i="2" s="1"/>
  <c r="P277" i="2"/>
  <c r="C277" i="2" s="1"/>
  <c r="R276" i="2"/>
  <c r="Q276" i="2"/>
  <c r="P276" i="2"/>
  <c r="R275" i="2"/>
  <c r="T275" i="2" s="1"/>
  <c r="H275" i="2" s="1"/>
  <c r="Q275" i="2"/>
  <c r="D275" i="2" s="1"/>
  <c r="P275" i="2"/>
  <c r="C275" i="2" s="1"/>
  <c r="R272" i="2"/>
  <c r="T272" i="2" s="1"/>
  <c r="H272" i="2" s="1"/>
  <c r="Q272" i="2"/>
  <c r="D272" i="2" s="1"/>
  <c r="P272" i="2"/>
  <c r="C272" i="2" s="1"/>
  <c r="R271" i="2"/>
  <c r="T271" i="2" s="1"/>
  <c r="H271" i="2" s="1"/>
  <c r="Q271" i="2"/>
  <c r="D271" i="2" s="1"/>
  <c r="P271" i="2"/>
  <c r="C271" i="2" s="1"/>
  <c r="R270" i="2"/>
  <c r="Q270" i="2"/>
  <c r="P270" i="2"/>
  <c r="C270" i="2" s="1"/>
  <c r="R269" i="2"/>
  <c r="S269" i="2" s="1"/>
  <c r="Q269" i="2"/>
  <c r="D269" i="2" s="1"/>
  <c r="P269" i="2"/>
  <c r="R266" i="2"/>
  <c r="Q266" i="2"/>
  <c r="D266" i="2" s="1"/>
  <c r="P266" i="2"/>
  <c r="C266" i="2" s="1"/>
  <c r="R265" i="2"/>
  <c r="Q265" i="2"/>
  <c r="D265" i="2" s="1"/>
  <c r="P265" i="2"/>
  <c r="C265" i="2" s="1"/>
  <c r="R262" i="2"/>
  <c r="Q262" i="2"/>
  <c r="D262" i="2" s="1"/>
  <c r="P262" i="2"/>
  <c r="C262" i="2" s="1"/>
  <c r="R261" i="2"/>
  <c r="Q261" i="2"/>
  <c r="D261" i="2" s="1"/>
  <c r="P261" i="2"/>
  <c r="C261" i="2" s="1"/>
  <c r="R260" i="2"/>
  <c r="Q260" i="2"/>
  <c r="D260" i="2" s="1"/>
  <c r="P260" i="2"/>
  <c r="C260" i="2" s="1"/>
  <c r="R259" i="2"/>
  <c r="Q259" i="2"/>
  <c r="D259" i="2" s="1"/>
  <c r="P259" i="2"/>
  <c r="C259" i="2" s="1"/>
  <c r="R258" i="2"/>
  <c r="Q258" i="2"/>
  <c r="D258" i="2" s="1"/>
  <c r="P258" i="2"/>
  <c r="C258" i="2" s="1"/>
  <c r="R257" i="2"/>
  <c r="Q257" i="2"/>
  <c r="D257" i="2" s="1"/>
  <c r="P257" i="2"/>
  <c r="C257" i="2" s="1"/>
  <c r="R233" i="2"/>
  <c r="Q233" i="2"/>
  <c r="D233" i="2" s="1"/>
  <c r="P233" i="2"/>
  <c r="C233" i="2" s="1"/>
  <c r="R232" i="2"/>
  <c r="Q232" i="2"/>
  <c r="D232" i="2" s="1"/>
  <c r="P232" i="2"/>
  <c r="C232" i="2" s="1"/>
  <c r="R231" i="2"/>
  <c r="Q231" i="2"/>
  <c r="D231" i="2" s="1"/>
  <c r="P231" i="2"/>
  <c r="C231" i="2" s="1"/>
  <c r="R230" i="2"/>
  <c r="Q230" i="2"/>
  <c r="D230" i="2" s="1"/>
  <c r="P230" i="2"/>
  <c r="C230" i="2" s="1"/>
  <c r="R229" i="2"/>
  <c r="Q229" i="2"/>
  <c r="D229" i="2" s="1"/>
  <c r="P229" i="2"/>
  <c r="C229" i="2" s="1"/>
  <c r="R226" i="2"/>
  <c r="Q226" i="2"/>
  <c r="D226" i="2" s="1"/>
  <c r="P226" i="2"/>
  <c r="C226" i="2" s="1"/>
  <c r="R225" i="2"/>
  <c r="Q225" i="2"/>
  <c r="D225" i="2" s="1"/>
  <c r="P225" i="2"/>
  <c r="C225" i="2" s="1"/>
  <c r="R224" i="2"/>
  <c r="Q224" i="2"/>
  <c r="D224" i="2" s="1"/>
  <c r="P224" i="2"/>
  <c r="C224" i="2" s="1"/>
  <c r="R223" i="2"/>
  <c r="Q223" i="2"/>
  <c r="D223" i="2" s="1"/>
  <c r="P223" i="2"/>
  <c r="C223" i="2" s="1"/>
  <c r="R222" i="2"/>
  <c r="Q222" i="2"/>
  <c r="D222" i="2" s="1"/>
  <c r="P222" i="2"/>
  <c r="C222" i="2" s="1"/>
  <c r="R221" i="2"/>
  <c r="Q221" i="2"/>
  <c r="D221" i="2" s="1"/>
  <c r="P221" i="2"/>
  <c r="C221" i="2" s="1"/>
  <c r="R220" i="2"/>
  <c r="Q220" i="2"/>
  <c r="D220" i="2" s="1"/>
  <c r="P220" i="2"/>
  <c r="C220" i="2" s="1"/>
  <c r="R219" i="2"/>
  <c r="Q219" i="2"/>
  <c r="D219" i="2" s="1"/>
  <c r="P219" i="2"/>
  <c r="C219" i="2" s="1"/>
  <c r="R218" i="2"/>
  <c r="Q218" i="2"/>
  <c r="D218" i="2" s="1"/>
  <c r="P218" i="2"/>
  <c r="C218" i="2" s="1"/>
  <c r="R217" i="2"/>
  <c r="Q217" i="2"/>
  <c r="D217" i="2" s="1"/>
  <c r="P217" i="2"/>
  <c r="C217" i="2" s="1"/>
  <c r="R216" i="2"/>
  <c r="Q216" i="2"/>
  <c r="D216" i="2" s="1"/>
  <c r="P216" i="2"/>
  <c r="C216" i="2" s="1"/>
  <c r="R215" i="2"/>
  <c r="Q215" i="2"/>
  <c r="D215" i="2" s="1"/>
  <c r="P215" i="2"/>
  <c r="C215" i="2" s="1"/>
  <c r="R214" i="2"/>
  <c r="Q214" i="2"/>
  <c r="D214" i="2" s="1"/>
  <c r="P214" i="2"/>
  <c r="C214" i="2" s="1"/>
  <c r="R213" i="2"/>
  <c r="Q213" i="2"/>
  <c r="D213" i="2" s="1"/>
  <c r="P213" i="2"/>
  <c r="C213" i="2" s="1"/>
  <c r="R212" i="2"/>
  <c r="Q212" i="2"/>
  <c r="D212" i="2" s="1"/>
  <c r="P212" i="2"/>
  <c r="C212" i="2" s="1"/>
  <c r="R211" i="2"/>
  <c r="Q211" i="2"/>
  <c r="D211" i="2" s="1"/>
  <c r="P211" i="2"/>
  <c r="C211" i="2" s="1"/>
  <c r="R210" i="2"/>
  <c r="Q210" i="2"/>
  <c r="D210" i="2" s="1"/>
  <c r="P210" i="2"/>
  <c r="C210" i="2" s="1"/>
  <c r="T276" i="2"/>
  <c r="H276" i="2" s="1"/>
  <c r="S276" i="2"/>
  <c r="G276" i="2" s="1"/>
  <c r="S272" i="2"/>
  <c r="G272" i="2" s="1"/>
  <c r="S270" i="2"/>
  <c r="G270" i="2" s="1"/>
  <c r="T270" i="2"/>
  <c r="I272" i="2" l="1"/>
  <c r="E272" i="2"/>
  <c r="F272" i="2" s="1"/>
  <c r="U270" i="2"/>
  <c r="E277" i="2"/>
  <c r="F277" i="2" s="1"/>
  <c r="E275" i="2"/>
  <c r="F275" i="2" s="1"/>
  <c r="U276" i="2"/>
  <c r="C276" i="2"/>
  <c r="I276" i="2" s="1"/>
  <c r="G269" i="2"/>
  <c r="C269" i="2"/>
  <c r="V270" i="2"/>
  <c r="D270" i="2"/>
  <c r="E270" i="2" s="1"/>
  <c r="F270" i="2" s="1"/>
  <c r="V276" i="2"/>
  <c r="D276" i="2"/>
  <c r="J276" i="2" s="1"/>
  <c r="H270" i="2"/>
  <c r="I270" i="2" s="1"/>
  <c r="T269" i="2"/>
  <c r="H269" i="2" s="1"/>
  <c r="X30" i="25"/>
  <c r="X29" i="25"/>
  <c r="V29" i="25"/>
  <c r="W30" i="25"/>
  <c r="W29" i="25"/>
  <c r="V30" i="25"/>
  <c r="X22" i="25"/>
  <c r="X21" i="25"/>
  <c r="X20" i="25"/>
  <c r="V22" i="25"/>
  <c r="W22" i="25"/>
  <c r="W21" i="25"/>
  <c r="W20" i="25"/>
  <c r="V20" i="25"/>
  <c r="V21" i="25"/>
  <c r="X34" i="25"/>
  <c r="X33" i="25"/>
  <c r="V34" i="25"/>
  <c r="X26" i="25"/>
  <c r="X25" i="25"/>
  <c r="X24" i="25"/>
  <c r="V25" i="25"/>
  <c r="W26" i="25"/>
  <c r="W25" i="25"/>
  <c r="V26" i="25"/>
  <c r="X38" i="25"/>
  <c r="X37" i="25"/>
  <c r="X36" i="25"/>
  <c r="V38" i="25"/>
  <c r="V37" i="25"/>
  <c r="J272" i="2"/>
  <c r="E271" i="2"/>
  <c r="F271" i="2" s="1"/>
  <c r="S277" i="2"/>
  <c r="G277" i="2" s="1"/>
  <c r="J277" i="2" s="1"/>
  <c r="S275" i="2"/>
  <c r="V272" i="2"/>
  <c r="U272" i="2"/>
  <c r="S271" i="2"/>
  <c r="K272" i="2" l="1"/>
  <c r="K276" i="2"/>
  <c r="U269" i="2"/>
  <c r="V269" i="2"/>
  <c r="U277" i="2"/>
  <c r="E276" i="2"/>
  <c r="F276" i="2" s="1"/>
  <c r="J269" i="2"/>
  <c r="V271" i="2"/>
  <c r="G271" i="2"/>
  <c r="V277" i="2"/>
  <c r="J270" i="2"/>
  <c r="K270" i="2" s="1"/>
  <c r="I269" i="2"/>
  <c r="E269" i="2"/>
  <c r="F269" i="2" s="1"/>
  <c r="I277" i="2"/>
  <c r="K277" i="2" s="1"/>
  <c r="V275" i="2"/>
  <c r="G275" i="2"/>
  <c r="U275" i="2"/>
  <c r="U271" i="2"/>
  <c r="K269" i="2" l="1"/>
  <c r="J271" i="2"/>
  <c r="I271" i="2"/>
  <c r="J275" i="2"/>
  <c r="I275" i="2"/>
  <c r="V19" i="46"/>
  <c r="K271" i="2" l="1"/>
  <c r="K275" i="2"/>
  <c r="N7" i="2"/>
  <c r="N8" i="2"/>
  <c r="R12" i="4"/>
  <c r="R11" i="4"/>
  <c r="R10" i="4"/>
  <c r="R12" i="33"/>
  <c r="R11" i="33"/>
  <c r="R10" i="33"/>
  <c r="AD18" i="45" l="1"/>
  <c r="AD17" i="45"/>
  <c r="U18" i="45"/>
  <c r="U17" i="45"/>
  <c r="AD18" i="44"/>
  <c r="AD17" i="44"/>
  <c r="U18" i="44"/>
  <c r="U17" i="44"/>
  <c r="U34" i="45" l="1"/>
  <c r="U29" i="45"/>
  <c r="U24" i="45"/>
  <c r="U38" i="45"/>
  <c r="U33" i="45"/>
  <c r="U28" i="45"/>
  <c r="U22" i="45"/>
  <c r="U37" i="45"/>
  <c r="U32" i="45"/>
  <c r="U26" i="45"/>
  <c r="U21" i="45"/>
  <c r="U36" i="45"/>
  <c r="U30" i="45"/>
  <c r="U25" i="45"/>
  <c r="U20" i="45"/>
  <c r="U37" i="44"/>
  <c r="U32" i="44"/>
  <c r="U26" i="44"/>
  <c r="U21" i="44"/>
  <c r="U36" i="44"/>
  <c r="U30" i="44"/>
  <c r="U25" i="44"/>
  <c r="U20" i="44"/>
  <c r="U38" i="44"/>
  <c r="U28" i="44"/>
  <c r="U22" i="44"/>
  <c r="U34" i="44"/>
  <c r="U29" i="44"/>
  <c r="U24" i="44"/>
  <c r="U33" i="44"/>
  <c r="AD36" i="45"/>
  <c r="AD30" i="45"/>
  <c r="AD25" i="45"/>
  <c r="AD20" i="45"/>
  <c r="AD34" i="45"/>
  <c r="AD29" i="45"/>
  <c r="AD24" i="45"/>
  <c r="AD38" i="45"/>
  <c r="AD33" i="45"/>
  <c r="AD28" i="45"/>
  <c r="AD22" i="45"/>
  <c r="AD37" i="45"/>
  <c r="AD32" i="45"/>
  <c r="AD26" i="45"/>
  <c r="AD21" i="45"/>
  <c r="AD38" i="44"/>
  <c r="AD33" i="44"/>
  <c r="AD28" i="44"/>
  <c r="AD22" i="44"/>
  <c r="AD37" i="44"/>
  <c r="AD32" i="44"/>
  <c r="AD26" i="44"/>
  <c r="AD21" i="44"/>
  <c r="AD36" i="44"/>
  <c r="AD30" i="44"/>
  <c r="AD25" i="44"/>
  <c r="AD20" i="44"/>
  <c r="AD34" i="44"/>
  <c r="AD29" i="44"/>
  <c r="AD24" i="44"/>
  <c r="T12" i="32"/>
  <c r="T11" i="32"/>
  <c r="T10" i="32"/>
  <c r="L54" i="5"/>
  <c r="K54" i="5"/>
  <c r="J54" i="5"/>
  <c r="M54" i="5"/>
  <c r="R186" i="2" l="1"/>
  <c r="T186" i="2" s="1"/>
  <c r="H186" i="2" s="1"/>
  <c r="Q186" i="2"/>
  <c r="D186" i="2" s="1"/>
  <c r="P186" i="2"/>
  <c r="C186" i="2" s="1"/>
  <c r="R185" i="2"/>
  <c r="B185" i="2" s="1"/>
  <c r="Q185" i="2"/>
  <c r="D185" i="2" s="1"/>
  <c r="P185" i="2"/>
  <c r="C185" i="2" s="1"/>
  <c r="R184" i="2"/>
  <c r="T184" i="2" s="1"/>
  <c r="H184" i="2" s="1"/>
  <c r="Q184" i="2"/>
  <c r="D184" i="2" s="1"/>
  <c r="P184" i="2"/>
  <c r="C184" i="2" s="1"/>
  <c r="R183" i="2"/>
  <c r="S183" i="2" s="1"/>
  <c r="G183" i="2" s="1"/>
  <c r="Q183" i="2"/>
  <c r="D183" i="2" s="1"/>
  <c r="P183" i="2"/>
  <c r="C183" i="2" s="1"/>
  <c r="R182" i="2"/>
  <c r="T182" i="2" s="1"/>
  <c r="H182" i="2" s="1"/>
  <c r="Q182" i="2"/>
  <c r="D182" i="2" s="1"/>
  <c r="P182" i="2"/>
  <c r="C182" i="2" s="1"/>
  <c r="R181" i="2"/>
  <c r="B181" i="2" s="1"/>
  <c r="Q181" i="2"/>
  <c r="D181" i="2" s="1"/>
  <c r="P181" i="2"/>
  <c r="C181" i="2" s="1"/>
  <c r="R180" i="2"/>
  <c r="T180" i="2" s="1"/>
  <c r="H180" i="2" s="1"/>
  <c r="Q180" i="2"/>
  <c r="D180" i="2" s="1"/>
  <c r="P180" i="2"/>
  <c r="C180" i="2" s="1"/>
  <c r="R179" i="2"/>
  <c r="S179" i="2" s="1"/>
  <c r="G179" i="2" s="1"/>
  <c r="Q179" i="2"/>
  <c r="D179" i="2" s="1"/>
  <c r="P179" i="2"/>
  <c r="C179" i="2" s="1"/>
  <c r="R178" i="2"/>
  <c r="S178" i="2" s="1"/>
  <c r="G178" i="2" s="1"/>
  <c r="Q178" i="2"/>
  <c r="D178" i="2" s="1"/>
  <c r="P178" i="2"/>
  <c r="C178" i="2" s="1"/>
  <c r="R177" i="2"/>
  <c r="B177" i="2" s="1"/>
  <c r="Q177" i="2"/>
  <c r="D177" i="2" s="1"/>
  <c r="P177" i="2"/>
  <c r="C177" i="2" s="1"/>
  <c r="R176" i="2"/>
  <c r="T176" i="2" s="1"/>
  <c r="H176" i="2" s="1"/>
  <c r="Q176" i="2"/>
  <c r="D176" i="2" s="1"/>
  <c r="P176" i="2"/>
  <c r="C176" i="2" s="1"/>
  <c r="R175" i="2"/>
  <c r="T175" i="2" s="1"/>
  <c r="H175" i="2" s="1"/>
  <c r="Q175" i="2"/>
  <c r="D175" i="2" s="1"/>
  <c r="P175" i="2"/>
  <c r="C175" i="2" s="1"/>
  <c r="R174" i="2"/>
  <c r="B174" i="2" s="1"/>
  <c r="Q174" i="2"/>
  <c r="D174" i="2" s="1"/>
  <c r="P174" i="2"/>
  <c r="C174" i="2" s="1"/>
  <c r="R173" i="2"/>
  <c r="S173" i="2" s="1"/>
  <c r="G173" i="2" s="1"/>
  <c r="Q173" i="2"/>
  <c r="D173" i="2" s="1"/>
  <c r="P173" i="2"/>
  <c r="C173" i="2" s="1"/>
  <c r="R172" i="2"/>
  <c r="T172" i="2" s="1"/>
  <c r="H172" i="2" s="1"/>
  <c r="Q172" i="2"/>
  <c r="D172" i="2" s="1"/>
  <c r="P172" i="2"/>
  <c r="C172" i="2" s="1"/>
  <c r="R171" i="2"/>
  <c r="T171" i="2" s="1"/>
  <c r="H171" i="2" s="1"/>
  <c r="Q171" i="2"/>
  <c r="D171" i="2" s="1"/>
  <c r="P171" i="2"/>
  <c r="C171" i="2" s="1"/>
  <c r="R170" i="2"/>
  <c r="T170" i="2" s="1"/>
  <c r="H170" i="2" s="1"/>
  <c r="Q170" i="2"/>
  <c r="D170" i="2" s="1"/>
  <c r="P170" i="2"/>
  <c r="C170" i="2" s="1"/>
  <c r="R169" i="2"/>
  <c r="T169" i="2" s="1"/>
  <c r="H169" i="2" s="1"/>
  <c r="Q169" i="2"/>
  <c r="D169" i="2" s="1"/>
  <c r="P169" i="2"/>
  <c r="C169" i="2" s="1"/>
  <c r="R168" i="2"/>
  <c r="T168" i="2" s="1"/>
  <c r="H168" i="2" s="1"/>
  <c r="Q168" i="2"/>
  <c r="D168" i="2" s="1"/>
  <c r="P168" i="2"/>
  <c r="C168" i="2" s="1"/>
  <c r="R167" i="2"/>
  <c r="S167" i="2" s="1"/>
  <c r="G167" i="2" s="1"/>
  <c r="Q167" i="2"/>
  <c r="D167" i="2" s="1"/>
  <c r="P167" i="2"/>
  <c r="C167" i="2" s="1"/>
  <c r="R166" i="2"/>
  <c r="B166" i="2" s="1"/>
  <c r="Q166" i="2"/>
  <c r="D166" i="2" s="1"/>
  <c r="P166" i="2"/>
  <c r="C166" i="2" s="1"/>
  <c r="R165" i="2"/>
  <c r="T165" i="2" s="1"/>
  <c r="H165" i="2" s="1"/>
  <c r="Q165" i="2"/>
  <c r="D165" i="2" s="1"/>
  <c r="P165" i="2"/>
  <c r="C165" i="2" s="1"/>
  <c r="R164" i="2"/>
  <c r="B164" i="2" s="1"/>
  <c r="Q164" i="2"/>
  <c r="D164" i="2" s="1"/>
  <c r="P164" i="2"/>
  <c r="C164" i="2" s="1"/>
  <c r="R163" i="2"/>
  <c r="S163" i="2" s="1"/>
  <c r="G163" i="2" s="1"/>
  <c r="Q163" i="2"/>
  <c r="D163" i="2" s="1"/>
  <c r="P163" i="2"/>
  <c r="C163" i="2" s="1"/>
  <c r="R140" i="2"/>
  <c r="S140" i="2" s="1"/>
  <c r="G140" i="2" s="1"/>
  <c r="Q140" i="2"/>
  <c r="D140" i="2" s="1"/>
  <c r="P140" i="2"/>
  <c r="C140" i="2" s="1"/>
  <c r="R139" i="2"/>
  <c r="T139" i="2" s="1"/>
  <c r="H139" i="2" s="1"/>
  <c r="Q139" i="2"/>
  <c r="D139" i="2" s="1"/>
  <c r="P139" i="2"/>
  <c r="C139" i="2" s="1"/>
  <c r="R138" i="2"/>
  <c r="T138" i="2" s="1"/>
  <c r="H138" i="2" s="1"/>
  <c r="Q138" i="2"/>
  <c r="D138" i="2" s="1"/>
  <c r="P138" i="2"/>
  <c r="C138" i="2" s="1"/>
  <c r="R137" i="2"/>
  <c r="S137" i="2" s="1"/>
  <c r="G137" i="2" s="1"/>
  <c r="Q137" i="2"/>
  <c r="D137" i="2" s="1"/>
  <c r="P137" i="2"/>
  <c r="C137" i="2" s="1"/>
  <c r="R136" i="2"/>
  <c r="S136" i="2" s="1"/>
  <c r="G136" i="2" s="1"/>
  <c r="Q136" i="2"/>
  <c r="D136" i="2" s="1"/>
  <c r="P136" i="2"/>
  <c r="C136" i="2" s="1"/>
  <c r="R135" i="2"/>
  <c r="T135" i="2" s="1"/>
  <c r="H135" i="2" s="1"/>
  <c r="Q135" i="2"/>
  <c r="D135" i="2" s="1"/>
  <c r="P135" i="2"/>
  <c r="C135" i="2" s="1"/>
  <c r="R134" i="2"/>
  <c r="T134" i="2" s="1"/>
  <c r="H134" i="2" s="1"/>
  <c r="Q134" i="2"/>
  <c r="D134" i="2" s="1"/>
  <c r="P134" i="2"/>
  <c r="C134" i="2" s="1"/>
  <c r="R131" i="2"/>
  <c r="S131" i="2" s="1"/>
  <c r="G131" i="2" s="1"/>
  <c r="Q131" i="2"/>
  <c r="D131" i="2" s="1"/>
  <c r="P131" i="2"/>
  <c r="C131" i="2" s="1"/>
  <c r="R130" i="2"/>
  <c r="T130" i="2" s="1"/>
  <c r="H130" i="2" s="1"/>
  <c r="Q130" i="2"/>
  <c r="D130" i="2" s="1"/>
  <c r="P130" i="2"/>
  <c r="C130" i="2" s="1"/>
  <c r="R129" i="2"/>
  <c r="T129" i="2" s="1"/>
  <c r="H129" i="2" s="1"/>
  <c r="Q129" i="2"/>
  <c r="D129" i="2" s="1"/>
  <c r="P129" i="2"/>
  <c r="C129" i="2" s="1"/>
  <c r="R128" i="2"/>
  <c r="S128" i="2" s="1"/>
  <c r="Q128" i="2"/>
  <c r="D128" i="2" s="1"/>
  <c r="P128" i="2"/>
  <c r="C128" i="2" s="1"/>
  <c r="R127" i="2"/>
  <c r="S127" i="2" s="1"/>
  <c r="G127" i="2" s="1"/>
  <c r="Q127" i="2"/>
  <c r="D127" i="2" s="1"/>
  <c r="P127" i="2"/>
  <c r="C127" i="2" s="1"/>
  <c r="R126" i="2"/>
  <c r="T126" i="2" s="1"/>
  <c r="H126" i="2" s="1"/>
  <c r="Q126" i="2"/>
  <c r="D126" i="2" s="1"/>
  <c r="P126" i="2"/>
  <c r="C126" i="2" s="1"/>
  <c r="R125" i="2"/>
  <c r="T125" i="2" s="1"/>
  <c r="H125" i="2" s="1"/>
  <c r="Q125" i="2"/>
  <c r="D125" i="2" s="1"/>
  <c r="P125" i="2"/>
  <c r="C125" i="2" s="1"/>
  <c r="R102" i="2"/>
  <c r="T102" i="2" s="1"/>
  <c r="Q102" i="2"/>
  <c r="D102" i="2" s="1"/>
  <c r="P102" i="2"/>
  <c r="R101" i="2"/>
  <c r="T101" i="2" s="1"/>
  <c r="Q101" i="2"/>
  <c r="D101" i="2" s="1"/>
  <c r="P101" i="2"/>
  <c r="R100" i="2"/>
  <c r="T100" i="2" s="1"/>
  <c r="Q100" i="2"/>
  <c r="D100" i="2" s="1"/>
  <c r="P100" i="2"/>
  <c r="R99" i="2"/>
  <c r="T99" i="2" s="1"/>
  <c r="Q99" i="2"/>
  <c r="D99" i="2" s="1"/>
  <c r="P99" i="2"/>
  <c r="R98" i="2"/>
  <c r="S98" i="2" s="1"/>
  <c r="Q98" i="2"/>
  <c r="D98" i="2" s="1"/>
  <c r="P98" i="2"/>
  <c r="R97" i="2"/>
  <c r="Q97" i="2"/>
  <c r="D97" i="2" s="1"/>
  <c r="P97" i="2"/>
  <c r="R94" i="2"/>
  <c r="T94" i="2" s="1"/>
  <c r="H94" i="2" s="1"/>
  <c r="Q94" i="2"/>
  <c r="D94" i="2" s="1"/>
  <c r="P94" i="2"/>
  <c r="C94" i="2" s="1"/>
  <c r="R93" i="2"/>
  <c r="S93" i="2" s="1"/>
  <c r="G93" i="2" s="1"/>
  <c r="Q93" i="2"/>
  <c r="D93" i="2" s="1"/>
  <c r="P93" i="2"/>
  <c r="C93" i="2" s="1"/>
  <c r="R92" i="2"/>
  <c r="Q92" i="2"/>
  <c r="D92" i="2" s="1"/>
  <c r="P92" i="2"/>
  <c r="C92" i="2" s="1"/>
  <c r="R91" i="2"/>
  <c r="T91" i="2" s="1"/>
  <c r="H91" i="2" s="1"/>
  <c r="Q91" i="2"/>
  <c r="D91" i="2" s="1"/>
  <c r="P91" i="2"/>
  <c r="C91" i="2" s="1"/>
  <c r="R64" i="2"/>
  <c r="Q64" i="2"/>
  <c r="D64" i="2" s="1"/>
  <c r="P64" i="2"/>
  <c r="R63" i="2"/>
  <c r="T63" i="2" s="1"/>
  <c r="H63" i="2" s="1"/>
  <c r="Q63" i="2"/>
  <c r="D63" i="2" s="1"/>
  <c r="P63" i="2"/>
  <c r="R62" i="2"/>
  <c r="S62" i="2" s="1"/>
  <c r="G62" i="2" s="1"/>
  <c r="Q62" i="2"/>
  <c r="D62" i="2" s="1"/>
  <c r="P62" i="2"/>
  <c r="R61" i="2"/>
  <c r="S61" i="2" s="1"/>
  <c r="G61" i="2" s="1"/>
  <c r="Q61" i="2"/>
  <c r="D61" i="2" s="1"/>
  <c r="P61" i="2"/>
  <c r="R60" i="2"/>
  <c r="Q60" i="2"/>
  <c r="D60" i="2" s="1"/>
  <c r="P60" i="2"/>
  <c r="R59" i="2"/>
  <c r="T59" i="2" s="1"/>
  <c r="H59" i="2" s="1"/>
  <c r="Q59" i="2"/>
  <c r="D59" i="2" s="1"/>
  <c r="P59" i="2"/>
  <c r="R58" i="2"/>
  <c r="Q58" i="2"/>
  <c r="D58" i="2" s="1"/>
  <c r="P58" i="2"/>
  <c r="R57" i="2"/>
  <c r="T57" i="2" s="1"/>
  <c r="H57" i="2" s="1"/>
  <c r="Q57" i="2"/>
  <c r="D57" i="2" s="1"/>
  <c r="P57" i="2"/>
  <c r="R56" i="2"/>
  <c r="Q56" i="2"/>
  <c r="D56" i="2" s="1"/>
  <c r="P56" i="2"/>
  <c r="R55" i="2"/>
  <c r="T55" i="2" s="1"/>
  <c r="H55" i="2" s="1"/>
  <c r="Q55" i="2"/>
  <c r="D55" i="2" s="1"/>
  <c r="P55" i="2"/>
  <c r="R54" i="2"/>
  <c r="S54" i="2" s="1"/>
  <c r="G54" i="2" s="1"/>
  <c r="Q54" i="2"/>
  <c r="D54" i="2" s="1"/>
  <c r="P54" i="2"/>
  <c r="C54" i="2" s="1"/>
  <c r="R53" i="2"/>
  <c r="Q53" i="2"/>
  <c r="D53" i="2" s="1"/>
  <c r="P53" i="2"/>
  <c r="C53" i="2" s="1"/>
  <c r="R52" i="2"/>
  <c r="Q52" i="2"/>
  <c r="D52" i="2" s="1"/>
  <c r="P52" i="2"/>
  <c r="C52" i="2" s="1"/>
  <c r="R51" i="2"/>
  <c r="T51" i="2" s="1"/>
  <c r="H51" i="2" s="1"/>
  <c r="Q51" i="2"/>
  <c r="D51" i="2" s="1"/>
  <c r="P51" i="2"/>
  <c r="C51" i="2" s="1"/>
  <c r="R50" i="2"/>
  <c r="S50" i="2" s="1"/>
  <c r="G50" i="2" s="1"/>
  <c r="Q50" i="2"/>
  <c r="D50" i="2" s="1"/>
  <c r="P50" i="2"/>
  <c r="P20" i="2"/>
  <c r="C20" i="2" s="1"/>
  <c r="Q20" i="2"/>
  <c r="D20" i="2" s="1"/>
  <c r="R20" i="2"/>
  <c r="P21" i="2"/>
  <c r="C21" i="2" s="1"/>
  <c r="Q21" i="2"/>
  <c r="D21" i="2" s="1"/>
  <c r="R21" i="2"/>
  <c r="P22" i="2"/>
  <c r="C22" i="2" s="1"/>
  <c r="Q22" i="2"/>
  <c r="D22" i="2" s="1"/>
  <c r="R22" i="2"/>
  <c r="P23" i="2"/>
  <c r="Q23" i="2"/>
  <c r="D23" i="2" s="1"/>
  <c r="R23" i="2"/>
  <c r="T23" i="2" s="1"/>
  <c r="H23" i="2" s="1"/>
  <c r="P24" i="2"/>
  <c r="Q24" i="2"/>
  <c r="D24" i="2" s="1"/>
  <c r="R24" i="2"/>
  <c r="S24" i="2" s="1"/>
  <c r="G24" i="2" s="1"/>
  <c r="P25" i="2"/>
  <c r="Q25" i="2"/>
  <c r="D25" i="2" s="1"/>
  <c r="R25" i="2"/>
  <c r="T25" i="2" s="1"/>
  <c r="H25" i="2" s="1"/>
  <c r="P26" i="2"/>
  <c r="Q26" i="2"/>
  <c r="D26" i="2" s="1"/>
  <c r="R26" i="2"/>
  <c r="T26" i="2" s="1"/>
  <c r="H26" i="2" s="1"/>
  <c r="P27" i="2"/>
  <c r="Q27" i="2"/>
  <c r="D27" i="2" s="1"/>
  <c r="R27" i="2"/>
  <c r="R19" i="2"/>
  <c r="Q19" i="2"/>
  <c r="D19" i="2" s="1"/>
  <c r="P19" i="2"/>
  <c r="C19" i="2" s="1"/>
  <c r="S23" i="2"/>
  <c r="G23" i="2" s="1"/>
  <c r="B186" i="2" l="1"/>
  <c r="B170" i="2"/>
  <c r="B173" i="2"/>
  <c r="B178" i="2"/>
  <c r="T179" i="2"/>
  <c r="H179" i="2" s="1"/>
  <c r="B175" i="2"/>
  <c r="B183" i="2"/>
  <c r="S175" i="2"/>
  <c r="G175" i="2" s="1"/>
  <c r="B168" i="2"/>
  <c r="B171" i="2"/>
  <c r="B182" i="2"/>
  <c r="B172" i="2"/>
  <c r="S26" i="2"/>
  <c r="V26" i="2" s="1"/>
  <c r="T178" i="2"/>
  <c r="H178" i="2" s="1"/>
  <c r="B180" i="2"/>
  <c r="B165" i="2"/>
  <c r="B176" i="2"/>
  <c r="B179" i="2"/>
  <c r="B184" i="2"/>
  <c r="B169" i="2"/>
  <c r="S166" i="2"/>
  <c r="G166" i="2" s="1"/>
  <c r="S169" i="2"/>
  <c r="G169" i="2" s="1"/>
  <c r="S171" i="2"/>
  <c r="G171" i="2" s="1"/>
  <c r="T173" i="2"/>
  <c r="H173" i="2" s="1"/>
  <c r="S186" i="2"/>
  <c r="G186" i="2" s="1"/>
  <c r="B167" i="2"/>
  <c r="T166" i="2"/>
  <c r="H166" i="2" s="1"/>
  <c r="T167" i="2"/>
  <c r="H167" i="2" s="1"/>
  <c r="S182" i="2"/>
  <c r="T163" i="2"/>
  <c r="H163" i="2" s="1"/>
  <c r="T183" i="2"/>
  <c r="B163" i="2"/>
  <c r="T164" i="2"/>
  <c r="H164" i="2" s="1"/>
  <c r="S164" i="2"/>
  <c r="G164" i="2" s="1"/>
  <c r="T181" i="2"/>
  <c r="H181" i="2" s="1"/>
  <c r="S181" i="2"/>
  <c r="T185" i="2"/>
  <c r="H185" i="2" s="1"/>
  <c r="S185" i="2"/>
  <c r="G185" i="2" s="1"/>
  <c r="S165" i="2"/>
  <c r="T174" i="2"/>
  <c r="H174" i="2" s="1"/>
  <c r="S174" i="2"/>
  <c r="T177" i="2"/>
  <c r="H177" i="2" s="1"/>
  <c r="S177" i="2"/>
  <c r="S168" i="2"/>
  <c r="S170" i="2"/>
  <c r="G170" i="2" s="1"/>
  <c r="S172" i="2"/>
  <c r="S176" i="2"/>
  <c r="S180" i="2"/>
  <c r="S184" i="2"/>
  <c r="B129" i="2"/>
  <c r="B140" i="2"/>
  <c r="B128" i="2"/>
  <c r="T61" i="2"/>
  <c r="H61" i="2" s="1"/>
  <c r="T62" i="2"/>
  <c r="H62" i="2" s="1"/>
  <c r="B61" i="2"/>
  <c r="B125" i="2"/>
  <c r="T136" i="2"/>
  <c r="H136" i="2" s="1"/>
  <c r="B57" i="2"/>
  <c r="B136" i="2"/>
  <c r="B62" i="2"/>
  <c r="T140" i="2"/>
  <c r="H140" i="2" s="1"/>
  <c r="S130" i="2"/>
  <c r="G130" i="2" s="1"/>
  <c r="T137" i="2"/>
  <c r="H137" i="2" s="1"/>
  <c r="B126" i="2"/>
  <c r="B130" i="2"/>
  <c r="S126" i="2"/>
  <c r="G126" i="2" s="1"/>
  <c r="T131" i="2"/>
  <c r="H131" i="2" s="1"/>
  <c r="B54" i="2"/>
  <c r="B127" i="2"/>
  <c r="B131" i="2"/>
  <c r="B137" i="2"/>
  <c r="T127" i="2"/>
  <c r="H127" i="2" s="1"/>
  <c r="S135" i="2"/>
  <c r="S139" i="2"/>
  <c r="U139" i="2" s="1"/>
  <c r="B134" i="2"/>
  <c r="B135" i="2"/>
  <c r="B138" i="2"/>
  <c r="B139" i="2"/>
  <c r="S134" i="2"/>
  <c r="S138" i="2"/>
  <c r="V138" i="2" s="1"/>
  <c r="G128" i="2"/>
  <c r="S125" i="2"/>
  <c r="U125" i="2" s="1"/>
  <c r="S129" i="2"/>
  <c r="U129" i="2" s="1"/>
  <c r="T128" i="2"/>
  <c r="H128" i="2" s="1"/>
  <c r="S102" i="2"/>
  <c r="V102" i="2" s="1"/>
  <c r="J102" i="2" s="1"/>
  <c r="B26" i="2"/>
  <c r="B23" i="2"/>
  <c r="S57" i="2"/>
  <c r="G57" i="2" s="1"/>
  <c r="S101" i="2"/>
  <c r="V101" i="2" s="1"/>
  <c r="J101" i="2" s="1"/>
  <c r="B50" i="2"/>
  <c r="T92" i="2"/>
  <c r="H92" i="2" s="1"/>
  <c r="B92" i="2"/>
  <c r="S92" i="2"/>
  <c r="G92" i="2" s="1"/>
  <c r="S58" i="2"/>
  <c r="G58" i="2" s="1"/>
  <c r="B58" i="2"/>
  <c r="T58" i="2"/>
  <c r="H58" i="2" s="1"/>
  <c r="S27" i="2"/>
  <c r="G27" i="2" s="1"/>
  <c r="T27" i="2"/>
  <c r="H27" i="2" s="1"/>
  <c r="B27" i="2"/>
  <c r="T53" i="2"/>
  <c r="H53" i="2" s="1"/>
  <c r="B53" i="2"/>
  <c r="S53" i="2"/>
  <c r="G53" i="2" s="1"/>
  <c r="T97" i="2"/>
  <c r="S97" i="2"/>
  <c r="U26" i="2"/>
  <c r="T24" i="2"/>
  <c r="H24" i="2" s="1"/>
  <c r="U23" i="2"/>
  <c r="B25" i="2"/>
  <c r="T54" i="2"/>
  <c r="H54" i="2" s="1"/>
  <c r="T93" i="2"/>
  <c r="H93" i="2" s="1"/>
  <c r="T98" i="2"/>
  <c r="V98" i="2" s="1"/>
  <c r="J98" i="2" s="1"/>
  <c r="B91" i="2"/>
  <c r="B94" i="2"/>
  <c r="B24" i="2"/>
  <c r="T50" i="2"/>
  <c r="H50" i="2" s="1"/>
  <c r="B93" i="2"/>
  <c r="S100" i="2"/>
  <c r="V100" i="2" s="1"/>
  <c r="J100" i="2" s="1"/>
  <c r="S99" i="2"/>
  <c r="U99" i="2" s="1"/>
  <c r="S91" i="2"/>
  <c r="S94" i="2"/>
  <c r="T52" i="2"/>
  <c r="H52" i="2" s="1"/>
  <c r="B52" i="2"/>
  <c r="S52" i="2"/>
  <c r="B56" i="2"/>
  <c r="T56" i="2"/>
  <c r="H56" i="2" s="1"/>
  <c r="S56" i="2"/>
  <c r="B60" i="2"/>
  <c r="T60" i="2"/>
  <c r="H60" i="2" s="1"/>
  <c r="S60" i="2"/>
  <c r="B64" i="2"/>
  <c r="T64" i="2"/>
  <c r="H64" i="2" s="1"/>
  <c r="S64" i="2"/>
  <c r="B51" i="2"/>
  <c r="B55" i="2"/>
  <c r="B59" i="2"/>
  <c r="B63" i="2"/>
  <c r="S51" i="2"/>
  <c r="S55" i="2"/>
  <c r="V55" i="2" s="1"/>
  <c r="S59" i="2"/>
  <c r="S63" i="2"/>
  <c r="S25" i="2"/>
  <c r="G25" i="2" s="1"/>
  <c r="V23" i="2"/>
  <c r="J23" i="2" s="1"/>
  <c r="V186" i="2" l="1"/>
  <c r="J186" i="2" s="1"/>
  <c r="U179" i="2"/>
  <c r="I179" i="2" s="1"/>
  <c r="V178" i="2"/>
  <c r="J178" i="2" s="1"/>
  <c r="V171" i="2"/>
  <c r="J171" i="2" s="1"/>
  <c r="U171" i="2"/>
  <c r="I171" i="2" s="1"/>
  <c r="V175" i="2"/>
  <c r="J175" i="2" s="1"/>
  <c r="U186" i="2"/>
  <c r="U24" i="2"/>
  <c r="U175" i="2"/>
  <c r="I175" i="2" s="1"/>
  <c r="G26" i="2"/>
  <c r="J26" i="2" s="1"/>
  <c r="V169" i="2"/>
  <c r="J169" i="2" s="1"/>
  <c r="U180" i="2"/>
  <c r="G180" i="2"/>
  <c r="V177" i="2"/>
  <c r="G177" i="2"/>
  <c r="V181" i="2"/>
  <c r="G181" i="2"/>
  <c r="U176" i="2"/>
  <c r="G176" i="2"/>
  <c r="U182" i="2"/>
  <c r="G182" i="2"/>
  <c r="U172" i="2"/>
  <c r="G172" i="2"/>
  <c r="V182" i="2"/>
  <c r="V174" i="2"/>
  <c r="G174" i="2"/>
  <c r="V167" i="2"/>
  <c r="J167" i="2" s="1"/>
  <c r="U178" i="2"/>
  <c r="U183" i="2"/>
  <c r="H183" i="2"/>
  <c r="U184" i="2"/>
  <c r="G184" i="2"/>
  <c r="V179" i="2"/>
  <c r="U181" i="2"/>
  <c r="U167" i="2"/>
  <c r="I167" i="2" s="1"/>
  <c r="V173" i="2"/>
  <c r="U173" i="2"/>
  <c r="U170" i="2"/>
  <c r="V183" i="2"/>
  <c r="U168" i="2"/>
  <c r="G168" i="2"/>
  <c r="U185" i="2"/>
  <c r="V166" i="2"/>
  <c r="U166" i="2"/>
  <c r="V165" i="2"/>
  <c r="G165" i="2"/>
  <c r="V163" i="2"/>
  <c r="U169" i="2"/>
  <c r="U163" i="2"/>
  <c r="V180" i="2"/>
  <c r="V170" i="2"/>
  <c r="U165" i="2"/>
  <c r="U177" i="2"/>
  <c r="U174" i="2"/>
  <c r="V164" i="2"/>
  <c r="U164" i="2"/>
  <c r="V176" i="2"/>
  <c r="V168" i="2"/>
  <c r="V185" i="2"/>
  <c r="V184" i="2"/>
  <c r="V172" i="2"/>
  <c r="U101" i="2"/>
  <c r="V61" i="2"/>
  <c r="J61" i="2" s="1"/>
  <c r="V140" i="2"/>
  <c r="J140" i="2" s="1"/>
  <c r="U140" i="2"/>
  <c r="I140" i="2" s="1"/>
  <c r="U61" i="2"/>
  <c r="V137" i="2"/>
  <c r="J137" i="2" s="1"/>
  <c r="U136" i="2"/>
  <c r="I136" i="2" s="1"/>
  <c r="V128" i="2"/>
  <c r="J128" i="2" s="1"/>
  <c r="V131" i="2"/>
  <c r="J131" i="2" s="1"/>
  <c r="V50" i="2"/>
  <c r="J50" i="2" s="1"/>
  <c r="U131" i="2"/>
  <c r="I131" i="2" s="1"/>
  <c r="V136" i="2"/>
  <c r="J136" i="2" s="1"/>
  <c r="V62" i="2"/>
  <c r="J62" i="2" s="1"/>
  <c r="U62" i="2"/>
  <c r="U97" i="2"/>
  <c r="U128" i="2"/>
  <c r="I128" i="2" s="1"/>
  <c r="V130" i="2"/>
  <c r="J130" i="2" s="1"/>
  <c r="U137" i="2"/>
  <c r="U98" i="2"/>
  <c r="V58" i="2"/>
  <c r="J58" i="2" s="1"/>
  <c r="U127" i="2"/>
  <c r="V24" i="2"/>
  <c r="J24" i="2" s="1"/>
  <c r="V53" i="2"/>
  <c r="J53" i="2" s="1"/>
  <c r="V97" i="2"/>
  <c r="J97" i="2" s="1"/>
  <c r="U102" i="2"/>
  <c r="U126" i="2"/>
  <c r="U130" i="2"/>
  <c r="V127" i="2"/>
  <c r="V126" i="2"/>
  <c r="G135" i="2"/>
  <c r="V135" i="2"/>
  <c r="G138" i="2"/>
  <c r="J138" i="2" s="1"/>
  <c r="U138" i="2"/>
  <c r="I139" i="2"/>
  <c r="G134" i="2"/>
  <c r="U134" i="2"/>
  <c r="U135" i="2"/>
  <c r="G139" i="2"/>
  <c r="V139" i="2"/>
  <c r="V134" i="2"/>
  <c r="I125" i="2"/>
  <c r="G129" i="2"/>
  <c r="V129" i="2"/>
  <c r="G125" i="2"/>
  <c r="V125" i="2"/>
  <c r="I129" i="2"/>
  <c r="V57" i="2"/>
  <c r="J57" i="2" s="1"/>
  <c r="U27" i="2"/>
  <c r="U57" i="2"/>
  <c r="U56" i="2"/>
  <c r="V91" i="2"/>
  <c r="G91" i="2"/>
  <c r="U53" i="2"/>
  <c r="U93" i="2"/>
  <c r="U92" i="2"/>
  <c r="U94" i="2"/>
  <c r="G94" i="2"/>
  <c r="V27" i="2"/>
  <c r="J27" i="2" s="1"/>
  <c r="U54" i="2"/>
  <c r="U50" i="2"/>
  <c r="U91" i="2"/>
  <c r="V92" i="2"/>
  <c r="U58" i="2"/>
  <c r="V54" i="2"/>
  <c r="J54" i="2" s="1"/>
  <c r="V93" i="2"/>
  <c r="J93" i="2" s="1"/>
  <c r="V99" i="2"/>
  <c r="J99" i="2" s="1"/>
  <c r="U100" i="2"/>
  <c r="V94" i="2"/>
  <c r="G63" i="2"/>
  <c r="U63" i="2"/>
  <c r="G64" i="2"/>
  <c r="V64" i="2"/>
  <c r="V56" i="2"/>
  <c r="G56" i="2"/>
  <c r="U59" i="2"/>
  <c r="G59" i="2"/>
  <c r="V63" i="2"/>
  <c r="U64" i="2"/>
  <c r="G55" i="2"/>
  <c r="J55" i="2" s="1"/>
  <c r="U55" i="2"/>
  <c r="G52" i="2"/>
  <c r="V52" i="2"/>
  <c r="G51" i="2"/>
  <c r="U51" i="2"/>
  <c r="V51" i="2"/>
  <c r="V60" i="2"/>
  <c r="G60" i="2"/>
  <c r="U52" i="2"/>
  <c r="V59" i="2"/>
  <c r="U60" i="2"/>
  <c r="V25" i="2"/>
  <c r="J25" i="2" s="1"/>
  <c r="U25" i="2"/>
  <c r="E186" i="2" l="1"/>
  <c r="F186" i="2" s="1"/>
  <c r="K171" i="2"/>
  <c r="E171" i="2"/>
  <c r="F171" i="2" s="1"/>
  <c r="K140" i="2"/>
  <c r="K175" i="2"/>
  <c r="I186" i="2"/>
  <c r="K186" i="2" s="1"/>
  <c r="E175" i="2"/>
  <c r="F175" i="2" s="1"/>
  <c r="J174" i="2"/>
  <c r="E136" i="2"/>
  <c r="F136" i="2" s="1"/>
  <c r="E140" i="2"/>
  <c r="F140" i="2" s="1"/>
  <c r="I174" i="2"/>
  <c r="E174" i="2"/>
  <c r="F174" i="2" s="1"/>
  <c r="J180" i="2"/>
  <c r="I185" i="2"/>
  <c r="E185" i="2"/>
  <c r="F185" i="2" s="1"/>
  <c r="J173" i="2"/>
  <c r="I182" i="2"/>
  <c r="E182" i="2"/>
  <c r="F182" i="2" s="1"/>
  <c r="J172" i="2"/>
  <c r="J176" i="2"/>
  <c r="I177" i="2"/>
  <c r="E177" i="2"/>
  <c r="F177" i="2" s="1"/>
  <c r="K167" i="2"/>
  <c r="J183" i="2"/>
  <c r="I170" i="2"/>
  <c r="E170" i="2"/>
  <c r="F170" i="2" s="1"/>
  <c r="I184" i="2"/>
  <c r="E184" i="2"/>
  <c r="F184" i="2" s="1"/>
  <c r="I183" i="2"/>
  <c r="E183" i="2"/>
  <c r="F183" i="2" s="1"/>
  <c r="E172" i="2"/>
  <c r="F172" i="2" s="1"/>
  <c r="I172" i="2"/>
  <c r="J181" i="2"/>
  <c r="J177" i="2"/>
  <c r="J184" i="2"/>
  <c r="E167" i="2"/>
  <c r="F167" i="2" s="1"/>
  <c r="E181" i="2"/>
  <c r="F181" i="2" s="1"/>
  <c r="I181" i="2"/>
  <c r="I178" i="2"/>
  <c r="K178" i="2" s="1"/>
  <c r="E178" i="2"/>
  <c r="F178" i="2" s="1"/>
  <c r="J185" i="2"/>
  <c r="J170" i="2"/>
  <c r="E173" i="2"/>
  <c r="F173" i="2" s="1"/>
  <c r="I173" i="2"/>
  <c r="E179" i="2"/>
  <c r="F179" i="2" s="1"/>
  <c r="J179" i="2"/>
  <c r="K179" i="2" s="1"/>
  <c r="J182" i="2"/>
  <c r="E176" i="2"/>
  <c r="F176" i="2" s="1"/>
  <c r="I176" i="2"/>
  <c r="I180" i="2"/>
  <c r="E180" i="2"/>
  <c r="F180" i="2" s="1"/>
  <c r="J168" i="2"/>
  <c r="I168" i="2"/>
  <c r="E168" i="2"/>
  <c r="F168" i="2" s="1"/>
  <c r="I163" i="2"/>
  <c r="E163" i="2"/>
  <c r="F163" i="2" s="1"/>
  <c r="J165" i="2"/>
  <c r="I164" i="2"/>
  <c r="I165" i="2"/>
  <c r="E165" i="2"/>
  <c r="F165" i="2" s="1"/>
  <c r="I169" i="2"/>
  <c r="K169" i="2" s="1"/>
  <c r="E169" i="2"/>
  <c r="F169" i="2" s="1"/>
  <c r="I166" i="2"/>
  <c r="E166" i="2"/>
  <c r="F166" i="2" s="1"/>
  <c r="J164" i="2"/>
  <c r="E164" i="2"/>
  <c r="F164" i="2" s="1"/>
  <c r="J163" i="2"/>
  <c r="J166" i="2"/>
  <c r="E131" i="2"/>
  <c r="F131" i="2" s="1"/>
  <c r="K136" i="2"/>
  <c r="E128" i="2"/>
  <c r="F128" i="2" s="1"/>
  <c r="K131" i="2"/>
  <c r="J64" i="2"/>
  <c r="I137" i="2"/>
  <c r="K137" i="2" s="1"/>
  <c r="E137" i="2"/>
  <c r="F137" i="2" s="1"/>
  <c r="J126" i="2"/>
  <c r="E127" i="2"/>
  <c r="F127" i="2" s="1"/>
  <c r="I127" i="2"/>
  <c r="J127" i="2"/>
  <c r="I130" i="2"/>
  <c r="K130" i="2" s="1"/>
  <c r="E130" i="2"/>
  <c r="F130" i="2" s="1"/>
  <c r="I54" i="2"/>
  <c r="K54" i="2" s="1"/>
  <c r="E53" i="2"/>
  <c r="F53" i="2" s="1"/>
  <c r="I126" i="2"/>
  <c r="E126" i="2"/>
  <c r="F126" i="2" s="1"/>
  <c r="I135" i="2"/>
  <c r="E135" i="2"/>
  <c r="F135" i="2" s="1"/>
  <c r="J134" i="2"/>
  <c r="E134" i="2"/>
  <c r="F134" i="2" s="1"/>
  <c r="I134" i="2"/>
  <c r="E138" i="2"/>
  <c r="F138" i="2" s="1"/>
  <c r="I138" i="2"/>
  <c r="K138" i="2" s="1"/>
  <c r="J135" i="2"/>
  <c r="E139" i="2"/>
  <c r="F139" i="2" s="1"/>
  <c r="J139" i="2"/>
  <c r="K139" i="2" s="1"/>
  <c r="J125" i="2"/>
  <c r="K125" i="2" s="1"/>
  <c r="E125" i="2"/>
  <c r="F125" i="2" s="1"/>
  <c r="J129" i="2"/>
  <c r="K129" i="2" s="1"/>
  <c r="E129" i="2"/>
  <c r="F129" i="2" s="1"/>
  <c r="K128" i="2"/>
  <c r="I53" i="2"/>
  <c r="K53" i="2" s="1"/>
  <c r="I91" i="2"/>
  <c r="E91" i="2"/>
  <c r="F91" i="2" s="1"/>
  <c r="J94" i="2"/>
  <c r="I94" i="2"/>
  <c r="E94" i="2"/>
  <c r="F94" i="2" s="1"/>
  <c r="J92" i="2"/>
  <c r="I93" i="2"/>
  <c r="K93" i="2" s="1"/>
  <c r="E93" i="2"/>
  <c r="F93" i="2" s="1"/>
  <c r="J60" i="2"/>
  <c r="J56" i="2"/>
  <c r="E54" i="2"/>
  <c r="F54" i="2" s="1"/>
  <c r="I92" i="2"/>
  <c r="E92" i="2"/>
  <c r="F92" i="2" s="1"/>
  <c r="J91" i="2"/>
  <c r="J52" i="2"/>
  <c r="J59" i="2"/>
  <c r="J51" i="2"/>
  <c r="J63" i="2"/>
  <c r="I52" i="2"/>
  <c r="E52" i="2"/>
  <c r="F52" i="2" s="1"/>
  <c r="E51" i="2"/>
  <c r="F51" i="2" s="1"/>
  <c r="I51" i="2"/>
  <c r="K164" i="2" l="1"/>
  <c r="K182" i="2"/>
  <c r="K166" i="2"/>
  <c r="K185" i="2"/>
  <c r="K174" i="2"/>
  <c r="K177" i="2"/>
  <c r="K176" i="2"/>
  <c r="K184" i="2"/>
  <c r="K180" i="2"/>
  <c r="K181" i="2"/>
  <c r="K170" i="2"/>
  <c r="K183" i="2"/>
  <c r="K172" i="2"/>
  <c r="K173" i="2"/>
  <c r="K163" i="2"/>
  <c r="K165" i="2"/>
  <c r="K168" i="2"/>
  <c r="K127" i="2"/>
  <c r="K134" i="2"/>
  <c r="K91" i="2"/>
  <c r="K135" i="2"/>
  <c r="K126" i="2"/>
  <c r="K51" i="2"/>
  <c r="K52" i="2"/>
  <c r="K92" i="2"/>
  <c r="K94" i="2"/>
  <c r="Z4" i="5" l="1"/>
  <c r="Z5" i="5"/>
  <c r="Z6" i="5"/>
  <c r="Z7" i="5"/>
  <c r="Z8" i="5"/>
  <c r="Z9" i="5"/>
  <c r="Z10" i="5"/>
  <c r="Z11" i="5"/>
  <c r="Z12" i="5"/>
  <c r="Z13" i="5"/>
  <c r="Z14" i="5"/>
  <c r="Z15" i="5"/>
  <c r="Z16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6" i="5"/>
  <c r="Z67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8" i="5"/>
  <c r="Z89" i="5"/>
  <c r="Z90" i="5"/>
  <c r="Z91" i="5"/>
  <c r="Z92" i="5"/>
  <c r="Z93" i="5"/>
  <c r="Z94" i="5"/>
  <c r="Z105" i="5"/>
  <c r="Z106" i="5"/>
  <c r="Z107" i="5"/>
  <c r="Z109" i="5"/>
  <c r="Z110" i="5"/>
  <c r="Z111" i="5"/>
  <c r="Z112" i="5"/>
  <c r="Z114" i="5"/>
  <c r="Z115" i="5"/>
  <c r="Z116" i="5"/>
  <c r="Z117" i="5"/>
  <c r="Z3" i="5"/>
  <c r="A41" i="43" l="1"/>
  <c r="A39" i="27"/>
  <c r="A41" i="32"/>
  <c r="T12" i="43"/>
  <c r="T11" i="43"/>
  <c r="T10" i="43"/>
  <c r="C55" i="5" l="1"/>
  <c r="C56" i="5"/>
  <c r="H74" i="5"/>
  <c r="C88" i="5"/>
  <c r="C74" i="5"/>
  <c r="C65" i="5"/>
  <c r="C64" i="5"/>
  <c r="C63" i="5"/>
  <c r="C61" i="5"/>
  <c r="C60" i="5"/>
  <c r="C59" i="5"/>
  <c r="C58" i="5"/>
  <c r="C57" i="5"/>
  <c r="C54" i="5"/>
  <c r="C53" i="5"/>
  <c r="B89" i="5"/>
  <c r="B91" i="5"/>
  <c r="I67" i="5" l="1"/>
  <c r="G67" i="5"/>
  <c r="H67" i="5"/>
  <c r="I72" i="5"/>
  <c r="G72" i="5"/>
  <c r="H72" i="5"/>
  <c r="G73" i="5"/>
  <c r="I73" i="5"/>
  <c r="H73" i="5"/>
  <c r="G88" i="5"/>
  <c r="H88" i="5"/>
  <c r="I88" i="5"/>
  <c r="T11" i="44" l="1"/>
  <c r="T11" i="45"/>
  <c r="T10" i="45"/>
  <c r="T10" i="44"/>
  <c r="T12" i="45"/>
  <c r="T12" i="44"/>
  <c r="R26" i="5"/>
  <c r="Q26" i="5"/>
  <c r="P26" i="5"/>
  <c r="L26" i="5"/>
  <c r="M26" i="5"/>
  <c r="K26" i="5"/>
  <c r="J26" i="5"/>
  <c r="I26" i="5"/>
  <c r="G26" i="5"/>
  <c r="H26" i="5"/>
  <c r="F26" i="5"/>
  <c r="E26" i="5"/>
  <c r="D26" i="5"/>
  <c r="C26" i="5"/>
  <c r="B26" i="5"/>
  <c r="V18" i="46" l="1"/>
  <c r="R18" i="46"/>
  <c r="R35" i="46" s="1"/>
  <c r="U21" i="46"/>
  <c r="U31" i="46" s="1"/>
  <c r="Q21" i="46"/>
  <c r="Q27" i="46" s="1"/>
  <c r="A38" i="46"/>
  <c r="A40" i="46"/>
  <c r="L18" i="46"/>
  <c r="K18" i="46"/>
  <c r="J18" i="46"/>
  <c r="F18" i="46"/>
  <c r="E18" i="46"/>
  <c r="L9" i="46"/>
  <c r="A9" i="46"/>
  <c r="A8" i="46"/>
  <c r="L7" i="46"/>
  <c r="A7" i="46"/>
  <c r="A4" i="46"/>
  <c r="A3" i="46"/>
  <c r="A2" i="46"/>
  <c r="A1" i="46"/>
  <c r="V35" i="46" l="1"/>
  <c r="V27" i="46"/>
  <c r="V33" i="46"/>
  <c r="V25" i="46"/>
  <c r="V31" i="46"/>
  <c r="V29" i="46"/>
  <c r="U25" i="46"/>
  <c r="U33" i="46"/>
  <c r="U27" i="46"/>
  <c r="U35" i="46"/>
  <c r="W35" i="46" s="1"/>
  <c r="D35" i="46" s="1"/>
  <c r="U29" i="46"/>
  <c r="U23" i="46"/>
  <c r="V21" i="46"/>
  <c r="W21" i="46" s="1"/>
  <c r="D21" i="46" s="1"/>
  <c r="W31" i="46"/>
  <c r="D31" i="46" s="1"/>
  <c r="Q31" i="46"/>
  <c r="Q35" i="46"/>
  <c r="S35" i="46" s="1"/>
  <c r="C35" i="46" s="1"/>
  <c r="Q23" i="46"/>
  <c r="V23" i="46"/>
  <c r="Q25" i="46"/>
  <c r="Q29" i="46"/>
  <c r="Q33" i="46"/>
  <c r="R23" i="46"/>
  <c r="R25" i="46"/>
  <c r="R29" i="46"/>
  <c r="R33" i="46"/>
  <c r="R21" i="46"/>
  <c r="S21" i="46" s="1"/>
  <c r="R27" i="46"/>
  <c r="S27" i="46" s="1"/>
  <c r="R31" i="46"/>
  <c r="W27" i="46" l="1"/>
  <c r="D27" i="46" s="1"/>
  <c r="W33" i="46"/>
  <c r="D33" i="46" s="1"/>
  <c r="W23" i="46"/>
  <c r="D23" i="46" s="1"/>
  <c r="W29" i="46"/>
  <c r="D29" i="46" s="1"/>
  <c r="W25" i="46"/>
  <c r="D25" i="46" s="1"/>
  <c r="C27" i="46"/>
  <c r="S25" i="46"/>
  <c r="C25" i="46" s="1"/>
  <c r="S33" i="46"/>
  <c r="C33" i="46" s="1"/>
  <c r="Z35" i="46"/>
  <c r="C21" i="46"/>
  <c r="E21" i="46" s="1"/>
  <c r="F21" i="46" s="1"/>
  <c r="AB21" i="46"/>
  <c r="Z21" i="46"/>
  <c r="E35" i="46"/>
  <c r="F35" i="46" s="1"/>
  <c r="S23" i="46"/>
  <c r="C23" i="46" s="1"/>
  <c r="AB35" i="46"/>
  <c r="S31" i="46"/>
  <c r="S29" i="46"/>
  <c r="C29" i="46" s="1"/>
  <c r="E27" i="46" l="1"/>
  <c r="F27" i="46" s="1"/>
  <c r="Z27" i="46"/>
  <c r="AB27" i="46"/>
  <c r="Z33" i="46"/>
  <c r="AB33" i="46"/>
  <c r="E33" i="46"/>
  <c r="F33" i="46" s="1"/>
  <c r="AB25" i="46"/>
  <c r="Z25" i="46"/>
  <c r="AB29" i="46"/>
  <c r="Z23" i="46"/>
  <c r="E25" i="46"/>
  <c r="F25" i="46" s="1"/>
  <c r="Z29" i="46"/>
  <c r="E23" i="46"/>
  <c r="F23" i="46" s="1"/>
  <c r="C31" i="46"/>
  <c r="Z31" i="46"/>
  <c r="AB31" i="46"/>
  <c r="E29" i="46"/>
  <c r="F29" i="46" s="1"/>
  <c r="AB23" i="46"/>
  <c r="E31" i="46" l="1"/>
  <c r="F31" i="46" s="1"/>
  <c r="AB20" i="45" l="1"/>
  <c r="AB34" i="45" s="1"/>
  <c r="S20" i="45"/>
  <c r="A41" i="45"/>
  <c r="AC17" i="45"/>
  <c r="T17" i="45"/>
  <c r="A41" i="44"/>
  <c r="AC17" i="44"/>
  <c r="AB20" i="44"/>
  <c r="AB37" i="44" s="1"/>
  <c r="S20" i="44"/>
  <c r="S30" i="44" s="1"/>
  <c r="T17" i="44"/>
  <c r="T34" i="44" s="1"/>
  <c r="A44" i="45"/>
  <c r="E38" i="45"/>
  <c r="E37" i="45"/>
  <c r="E36" i="45"/>
  <c r="E34" i="45"/>
  <c r="E33" i="45"/>
  <c r="E32" i="45"/>
  <c r="E30" i="45"/>
  <c r="E29" i="45"/>
  <c r="E28" i="45"/>
  <c r="E26" i="45"/>
  <c r="E25" i="45"/>
  <c r="E24" i="45"/>
  <c r="E22" i="45"/>
  <c r="E21" i="45"/>
  <c r="E20" i="45"/>
  <c r="P18" i="45"/>
  <c r="O18" i="45"/>
  <c r="N18" i="45"/>
  <c r="J18" i="45"/>
  <c r="I18" i="45"/>
  <c r="P9" i="45"/>
  <c r="A9" i="45"/>
  <c r="A8" i="45"/>
  <c r="P7" i="45"/>
  <c r="A7" i="45"/>
  <c r="A4" i="45"/>
  <c r="A3" i="45"/>
  <c r="A2" i="45"/>
  <c r="A1" i="45"/>
  <c r="A44" i="44"/>
  <c r="E38" i="44"/>
  <c r="E37" i="44"/>
  <c r="E36" i="44"/>
  <c r="E34" i="44"/>
  <c r="E33" i="44"/>
  <c r="E32" i="44"/>
  <c r="E30" i="44"/>
  <c r="E29" i="44"/>
  <c r="E28" i="44"/>
  <c r="E26" i="44"/>
  <c r="E25" i="44"/>
  <c r="E24" i="44"/>
  <c r="E22" i="44"/>
  <c r="E21" i="44"/>
  <c r="E20" i="44"/>
  <c r="P18" i="44"/>
  <c r="O18" i="44"/>
  <c r="N18" i="44"/>
  <c r="J18" i="44"/>
  <c r="I18" i="44"/>
  <c r="P9" i="44"/>
  <c r="A9" i="44"/>
  <c r="A8" i="44"/>
  <c r="P7" i="44"/>
  <c r="A7" i="44"/>
  <c r="A4" i="44"/>
  <c r="A3" i="44"/>
  <c r="A2" i="44"/>
  <c r="A1" i="44"/>
  <c r="AC20" i="43"/>
  <c r="AG17" i="43"/>
  <c r="AG26" i="43" s="1"/>
  <c r="AF17" i="43"/>
  <c r="AF22" i="43" s="1"/>
  <c r="AE17" i="43"/>
  <c r="AE30" i="43" s="1"/>
  <c r="AD17" i="43"/>
  <c r="W17" i="43"/>
  <c r="W30" i="43" s="1"/>
  <c r="V17" i="43"/>
  <c r="V21" i="43" s="1"/>
  <c r="U17" i="43"/>
  <c r="U20" i="43" s="1"/>
  <c r="T17" i="43"/>
  <c r="S20" i="43"/>
  <c r="S24" i="43" s="1"/>
  <c r="A45" i="43"/>
  <c r="E38" i="43"/>
  <c r="E37" i="43"/>
  <c r="E36" i="43"/>
  <c r="E34" i="43"/>
  <c r="E33" i="43"/>
  <c r="E32" i="43"/>
  <c r="E30" i="43"/>
  <c r="E29" i="43"/>
  <c r="E28" i="43"/>
  <c r="E26" i="43"/>
  <c r="E25" i="43"/>
  <c r="E24" i="43"/>
  <c r="E22" i="43"/>
  <c r="E21" i="43"/>
  <c r="E20" i="43"/>
  <c r="P18" i="43"/>
  <c r="O18" i="43"/>
  <c r="N18" i="43"/>
  <c r="J18" i="43"/>
  <c r="I18" i="43"/>
  <c r="M29" i="43"/>
  <c r="K26" i="43"/>
  <c r="P9" i="43"/>
  <c r="A9" i="43"/>
  <c r="A8" i="43"/>
  <c r="P7" i="43"/>
  <c r="A7" i="43"/>
  <c r="A4" i="43"/>
  <c r="A3" i="43"/>
  <c r="A2" i="43"/>
  <c r="A1" i="43"/>
  <c r="T36" i="45" l="1"/>
  <c r="AC28" i="44"/>
  <c r="AE29" i="43"/>
  <c r="AC34" i="44"/>
  <c r="AB29" i="45"/>
  <c r="T34" i="45"/>
  <c r="T38" i="45"/>
  <c r="T24" i="45"/>
  <c r="T28" i="45"/>
  <c r="U26" i="43"/>
  <c r="W34" i="43"/>
  <c r="W36" i="43"/>
  <c r="S21" i="44"/>
  <c r="AB24" i="45"/>
  <c r="AB24" i="44"/>
  <c r="AB38" i="44"/>
  <c r="AB32" i="44"/>
  <c r="AB22" i="44"/>
  <c r="AB34" i="44"/>
  <c r="AB28" i="44"/>
  <c r="AG32" i="43"/>
  <c r="AG37" i="43"/>
  <c r="M20" i="43"/>
  <c r="M30" i="43"/>
  <c r="K32" i="43"/>
  <c r="K20" i="43"/>
  <c r="M24" i="43"/>
  <c r="M25" i="43"/>
  <c r="U32" i="43"/>
  <c r="M34" i="43"/>
  <c r="M36" i="43"/>
  <c r="K37" i="43"/>
  <c r="AE20" i="43"/>
  <c r="AE24" i="43"/>
  <c r="AE34" i="43"/>
  <c r="AE36" i="43"/>
  <c r="AB29" i="44"/>
  <c r="T22" i="45"/>
  <c r="T29" i="45"/>
  <c r="T33" i="45"/>
  <c r="AB25" i="44"/>
  <c r="AB30" i="44"/>
  <c r="AB36" i="44"/>
  <c r="AC21" i="44"/>
  <c r="AB21" i="44"/>
  <c r="AB26" i="44"/>
  <c r="AB33" i="44"/>
  <c r="S22" i="44"/>
  <c r="S25" i="44"/>
  <c r="S29" i="44"/>
  <c r="T20" i="44"/>
  <c r="AC20" i="44"/>
  <c r="T21" i="44"/>
  <c r="T29" i="44"/>
  <c r="AC37" i="44"/>
  <c r="AC36" i="44"/>
  <c r="AC30" i="44"/>
  <c r="AC25" i="44"/>
  <c r="AC38" i="44"/>
  <c r="AC32" i="44"/>
  <c r="AC26" i="44"/>
  <c r="S38" i="44"/>
  <c r="S32" i="44"/>
  <c r="S26" i="44"/>
  <c r="S37" i="44"/>
  <c r="S33" i="44"/>
  <c r="S28" i="44"/>
  <c r="T24" i="44"/>
  <c r="AC24" i="44"/>
  <c r="AC29" i="44"/>
  <c r="T33" i="44"/>
  <c r="T37" i="44"/>
  <c r="T36" i="44"/>
  <c r="T30" i="44"/>
  <c r="T25" i="44"/>
  <c r="T38" i="44"/>
  <c r="T32" i="44"/>
  <c r="T26" i="44"/>
  <c r="T28" i="44"/>
  <c r="AC24" i="45"/>
  <c r="AC29" i="45"/>
  <c r="AC34" i="45"/>
  <c r="T22" i="44"/>
  <c r="AC22" i="44"/>
  <c r="S24" i="44"/>
  <c r="AC33" i="44"/>
  <c r="S34" i="44"/>
  <c r="S36" i="44"/>
  <c r="AB37" i="45"/>
  <c r="AB32" i="45"/>
  <c r="AB26" i="45"/>
  <c r="AB21" i="45"/>
  <c r="AB38" i="45"/>
  <c r="AB33" i="45"/>
  <c r="AB28" i="45"/>
  <c r="AB22" i="45"/>
  <c r="AB25" i="45"/>
  <c r="AB30" i="45"/>
  <c r="AB36" i="45"/>
  <c r="AC36" i="45"/>
  <c r="AC30" i="45"/>
  <c r="AC25" i="45"/>
  <c r="AC20" i="45"/>
  <c r="AC37" i="45"/>
  <c r="AC32" i="45"/>
  <c r="AC26" i="45"/>
  <c r="AC21" i="45"/>
  <c r="S37" i="45"/>
  <c r="S32" i="45"/>
  <c r="S26" i="45"/>
  <c r="S21" i="45"/>
  <c r="S38" i="45"/>
  <c r="S33" i="45"/>
  <c r="S28" i="45"/>
  <c r="S22" i="45"/>
  <c r="AC22" i="45"/>
  <c r="S24" i="45"/>
  <c r="S25" i="45"/>
  <c r="AC28" i="45"/>
  <c r="S29" i="45"/>
  <c r="S30" i="45"/>
  <c r="AC33" i="45"/>
  <c r="S34" i="45"/>
  <c r="S36" i="45"/>
  <c r="AC38" i="45"/>
  <c r="T21" i="45"/>
  <c r="T26" i="45"/>
  <c r="T32" i="45"/>
  <c r="T37" i="45"/>
  <c r="T20" i="45"/>
  <c r="T25" i="45"/>
  <c r="T30" i="45"/>
  <c r="AG38" i="43"/>
  <c r="AE25" i="43"/>
  <c r="AG21" i="43"/>
  <c r="AG20" i="43"/>
  <c r="W20" i="43"/>
  <c r="W24" i="43"/>
  <c r="W25" i="43"/>
  <c r="W29" i="43"/>
  <c r="U37" i="43"/>
  <c r="L38" i="43"/>
  <c r="L33" i="43"/>
  <c r="L28" i="43"/>
  <c r="L22" i="43"/>
  <c r="L34" i="43"/>
  <c r="L29" i="43"/>
  <c r="L24" i="43"/>
  <c r="L36" i="43"/>
  <c r="L30" i="43"/>
  <c r="L25" i="43"/>
  <c r="L20" i="43"/>
  <c r="L21" i="43"/>
  <c r="L37" i="43"/>
  <c r="L32" i="43"/>
  <c r="L26" i="43"/>
  <c r="V38" i="43"/>
  <c r="V33" i="43"/>
  <c r="V28" i="43"/>
  <c r="V22" i="43"/>
  <c r="V34" i="43"/>
  <c r="V29" i="43"/>
  <c r="V24" i="43"/>
  <c r="V36" i="43"/>
  <c r="V30" i="43"/>
  <c r="V25" i="43"/>
  <c r="V20" i="43"/>
  <c r="V37" i="43"/>
  <c r="V32" i="43"/>
  <c r="V26" i="43"/>
  <c r="AF36" i="43"/>
  <c r="AF30" i="43"/>
  <c r="AF25" i="43"/>
  <c r="AF37" i="43"/>
  <c r="AF32" i="43"/>
  <c r="AF26" i="43"/>
  <c r="AF21" i="43"/>
  <c r="AF34" i="43"/>
  <c r="AF29" i="43"/>
  <c r="AF24" i="43"/>
  <c r="AF20" i="43"/>
  <c r="AF38" i="43"/>
  <c r="AF33" i="43"/>
  <c r="AF28" i="43"/>
  <c r="T36" i="43"/>
  <c r="T30" i="43"/>
  <c r="T25" i="43"/>
  <c r="T37" i="43"/>
  <c r="T32" i="43"/>
  <c r="T26" i="43"/>
  <c r="T21" i="43"/>
  <c r="T34" i="43"/>
  <c r="T29" i="43"/>
  <c r="T24" i="43"/>
  <c r="T20" i="43"/>
  <c r="T38" i="43"/>
  <c r="T33" i="43"/>
  <c r="T28" i="43"/>
  <c r="AD38" i="43"/>
  <c r="AD33" i="43"/>
  <c r="AD28" i="43"/>
  <c r="AD22" i="43"/>
  <c r="AD34" i="43"/>
  <c r="AD29" i="43"/>
  <c r="AD24" i="43"/>
  <c r="AD37" i="43"/>
  <c r="AD32" i="43"/>
  <c r="AD26" i="43"/>
  <c r="AD21" i="43"/>
  <c r="AD20" i="43"/>
  <c r="AD36" i="43"/>
  <c r="AD30" i="43"/>
  <c r="AD25" i="43"/>
  <c r="T22" i="43"/>
  <c r="S37" i="43"/>
  <c r="S32" i="43"/>
  <c r="S26" i="43"/>
  <c r="S21" i="43"/>
  <c r="S38" i="43"/>
  <c r="S33" i="43"/>
  <c r="S28" i="43"/>
  <c r="S22" i="43"/>
  <c r="S36" i="43"/>
  <c r="S30" i="43"/>
  <c r="S25" i="43"/>
  <c r="S34" i="43"/>
  <c r="S29" i="43"/>
  <c r="K34" i="43"/>
  <c r="K29" i="43"/>
  <c r="K24" i="43"/>
  <c r="K36" i="43"/>
  <c r="K30" i="43"/>
  <c r="K25" i="43"/>
  <c r="U34" i="43"/>
  <c r="U29" i="43"/>
  <c r="U24" i="43"/>
  <c r="U36" i="43"/>
  <c r="U30" i="43"/>
  <c r="U25" i="43"/>
  <c r="AE37" i="43"/>
  <c r="AE32" i="43"/>
  <c r="AE26" i="43"/>
  <c r="AE21" i="43"/>
  <c r="AE38" i="43"/>
  <c r="AE33" i="43"/>
  <c r="AE28" i="43"/>
  <c r="AE22" i="43"/>
  <c r="K21" i="43"/>
  <c r="K22" i="43"/>
  <c r="U22" i="43"/>
  <c r="AG22" i="43"/>
  <c r="K28" i="43"/>
  <c r="U28" i="43"/>
  <c r="AG28" i="43"/>
  <c r="K33" i="43"/>
  <c r="U33" i="43"/>
  <c r="AG33" i="43"/>
  <c r="K38" i="43"/>
  <c r="U38" i="43"/>
  <c r="AC34" i="43"/>
  <c r="AC29" i="43"/>
  <c r="AC24" i="43"/>
  <c r="AC36" i="43"/>
  <c r="AC30" i="43"/>
  <c r="AC25" i="43"/>
  <c r="AC21" i="43"/>
  <c r="AC26" i="43"/>
  <c r="AC32" i="43"/>
  <c r="AC37" i="43"/>
  <c r="M37" i="43"/>
  <c r="M32" i="43"/>
  <c r="M26" i="43"/>
  <c r="M21" i="43"/>
  <c r="M38" i="43"/>
  <c r="M33" i="43"/>
  <c r="M28" i="43"/>
  <c r="M22" i="43"/>
  <c r="W37" i="43"/>
  <c r="W32" i="43"/>
  <c r="W26" i="43"/>
  <c r="W21" i="43"/>
  <c r="W38" i="43"/>
  <c r="W33" i="43"/>
  <c r="W28" i="43"/>
  <c r="W22" i="43"/>
  <c r="AG34" i="43"/>
  <c r="AG29" i="43"/>
  <c r="AG24" i="43"/>
  <c r="AG36" i="43"/>
  <c r="AG30" i="43"/>
  <c r="AG25" i="43"/>
  <c r="U21" i="43"/>
  <c r="AC22" i="43"/>
  <c r="AC28" i="43"/>
  <c r="AC33" i="43"/>
  <c r="AC38" i="43"/>
  <c r="A2" i="31"/>
  <c r="W38" i="45" l="1"/>
  <c r="G38" i="45" s="1"/>
  <c r="W32" i="44"/>
  <c r="G32" i="44" s="1"/>
  <c r="W30" i="45"/>
  <c r="G30" i="45" s="1"/>
  <c r="W34" i="45"/>
  <c r="G34" i="45" s="1"/>
  <c r="AF34" i="44"/>
  <c r="H34" i="44" s="1"/>
  <c r="AF33" i="44"/>
  <c r="H33" i="44" s="1"/>
  <c r="W29" i="44"/>
  <c r="G29" i="44" s="1"/>
  <c r="AH38" i="43"/>
  <c r="H38" i="43" s="1"/>
  <c r="W24" i="45"/>
  <c r="G24" i="45" s="1"/>
  <c r="X20" i="43"/>
  <c r="G20" i="43" s="1"/>
  <c r="N20" i="43" s="1"/>
  <c r="AF22" i="44"/>
  <c r="H22" i="44" s="1"/>
  <c r="AF28" i="44"/>
  <c r="H28" i="44" s="1"/>
  <c r="AH20" i="43"/>
  <c r="W22" i="45"/>
  <c r="G22" i="45" s="1"/>
  <c r="W20" i="44"/>
  <c r="G20" i="44" s="1"/>
  <c r="W25" i="44"/>
  <c r="G25" i="44" s="1"/>
  <c r="W20" i="45"/>
  <c r="G20" i="45" s="1"/>
  <c r="W36" i="45"/>
  <c r="G36" i="45" s="1"/>
  <c r="AF34" i="45"/>
  <c r="H34" i="45" s="1"/>
  <c r="AF32" i="45"/>
  <c r="H32" i="45" s="1"/>
  <c r="AF24" i="45"/>
  <c r="H24" i="45" s="1"/>
  <c r="AF30" i="45"/>
  <c r="AF29" i="45"/>
  <c r="H29" i="45" s="1"/>
  <c r="AF38" i="45"/>
  <c r="AF37" i="45"/>
  <c r="H37" i="45" s="1"/>
  <c r="W28" i="45"/>
  <c r="G28" i="45" s="1"/>
  <c r="W33" i="45"/>
  <c r="G33" i="45" s="1"/>
  <c r="AF21" i="44"/>
  <c r="H21" i="44" s="1"/>
  <c r="AF24" i="44"/>
  <c r="H24" i="44" s="1"/>
  <c r="AF37" i="44"/>
  <c r="H37" i="44" s="1"/>
  <c r="AF38" i="44"/>
  <c r="H38" i="44" s="1"/>
  <c r="AF20" i="44"/>
  <c r="AF25" i="44"/>
  <c r="AF29" i="44"/>
  <c r="AF36" i="44"/>
  <c r="H36" i="44" s="1"/>
  <c r="W22" i="44"/>
  <c r="G22" i="44" s="1"/>
  <c r="W34" i="44"/>
  <c r="G34" i="44" s="1"/>
  <c r="W28" i="44"/>
  <c r="G28" i="44" s="1"/>
  <c r="W21" i="44"/>
  <c r="G21" i="44" s="1"/>
  <c r="W33" i="44"/>
  <c r="G33" i="44" s="1"/>
  <c r="W30" i="44"/>
  <c r="G30" i="44" s="1"/>
  <c r="AF20" i="45"/>
  <c r="W32" i="45"/>
  <c r="G32" i="45" s="1"/>
  <c r="W21" i="45"/>
  <c r="G21" i="45" s="1"/>
  <c r="AF36" i="45"/>
  <c r="AF25" i="45"/>
  <c r="AF33" i="45"/>
  <c r="W36" i="44"/>
  <c r="G36" i="44" s="1"/>
  <c r="W24" i="44"/>
  <c r="G24" i="44" s="1"/>
  <c r="W26" i="44"/>
  <c r="G26" i="44" s="1"/>
  <c r="AF32" i="44"/>
  <c r="W26" i="45"/>
  <c r="G26" i="45" s="1"/>
  <c r="AF22" i="45"/>
  <c r="AF21" i="45"/>
  <c r="W38" i="44"/>
  <c r="G38" i="44" s="1"/>
  <c r="W29" i="45"/>
  <c r="G29" i="45" s="1"/>
  <c r="W25" i="45"/>
  <c r="G25" i="45" s="1"/>
  <c r="W37" i="45"/>
  <c r="G37" i="45" s="1"/>
  <c r="AF28" i="45"/>
  <c r="AF26" i="45"/>
  <c r="W37" i="44"/>
  <c r="G37" i="44" s="1"/>
  <c r="AF26" i="44"/>
  <c r="AF30" i="44"/>
  <c r="AH25" i="43"/>
  <c r="H25" i="43" s="1"/>
  <c r="AH30" i="43"/>
  <c r="AH26" i="43"/>
  <c r="H26" i="43" s="1"/>
  <c r="AH37" i="43"/>
  <c r="H37" i="43" s="1"/>
  <c r="AH29" i="43"/>
  <c r="H29" i="43" s="1"/>
  <c r="X24" i="43"/>
  <c r="G24" i="43" s="1"/>
  <c r="N24" i="43" s="1"/>
  <c r="X22" i="43"/>
  <c r="G22" i="43" s="1"/>
  <c r="N22" i="43" s="1"/>
  <c r="AH32" i="43"/>
  <c r="X26" i="43"/>
  <c r="G26" i="43" s="1"/>
  <c r="N26" i="43" s="1"/>
  <c r="AH28" i="43"/>
  <c r="X29" i="43"/>
  <c r="G29" i="43" s="1"/>
  <c r="N29" i="43" s="1"/>
  <c r="X30" i="43"/>
  <c r="G30" i="43" s="1"/>
  <c r="N30" i="43" s="1"/>
  <c r="X33" i="43"/>
  <c r="G33" i="43" s="1"/>
  <c r="N33" i="43" s="1"/>
  <c r="X32" i="43"/>
  <c r="G32" i="43" s="1"/>
  <c r="N32" i="43" s="1"/>
  <c r="X21" i="43"/>
  <c r="G21" i="43" s="1"/>
  <c r="N21" i="43" s="1"/>
  <c r="AH33" i="43"/>
  <c r="AH34" i="43"/>
  <c r="X25" i="43"/>
  <c r="G25" i="43" s="1"/>
  <c r="N25" i="43" s="1"/>
  <c r="X28" i="43"/>
  <c r="G28" i="43" s="1"/>
  <c r="N28" i="43" s="1"/>
  <c r="AH36" i="43"/>
  <c r="AH22" i="43"/>
  <c r="AH21" i="43"/>
  <c r="AH24" i="43"/>
  <c r="X34" i="43"/>
  <c r="G34" i="43" s="1"/>
  <c r="N34" i="43" s="1"/>
  <c r="X36" i="43"/>
  <c r="G36" i="43" s="1"/>
  <c r="N36" i="43" s="1"/>
  <c r="X38" i="43"/>
  <c r="G38" i="43" s="1"/>
  <c r="N38" i="43" s="1"/>
  <c r="X37" i="43"/>
  <c r="G37" i="43" s="1"/>
  <c r="N37" i="43" s="1"/>
  <c r="A2" i="42"/>
  <c r="AJ38" i="45" l="1"/>
  <c r="AJ29" i="44"/>
  <c r="AI29" i="44"/>
  <c r="AJ30" i="45"/>
  <c r="AK20" i="43"/>
  <c r="AI22" i="44"/>
  <c r="AI34" i="45"/>
  <c r="AI38" i="44"/>
  <c r="AJ20" i="44"/>
  <c r="AJ34" i="45"/>
  <c r="H20" i="43"/>
  <c r="O20" i="43" s="1"/>
  <c r="P20" i="43" s="1"/>
  <c r="AM20" i="43"/>
  <c r="AI38" i="45"/>
  <c r="AJ25" i="44"/>
  <c r="AM30" i="43"/>
  <c r="H20" i="44"/>
  <c r="I20" i="44" s="1"/>
  <c r="J20" i="44" s="1"/>
  <c r="H38" i="45"/>
  <c r="I38" i="45" s="1"/>
  <c r="J38" i="45" s="1"/>
  <c r="AJ24" i="45"/>
  <c r="H30" i="45"/>
  <c r="AI30" i="45"/>
  <c r="AI24" i="45"/>
  <c r="AJ37" i="45"/>
  <c r="AJ32" i="45"/>
  <c r="AJ29" i="45"/>
  <c r="AI32" i="45"/>
  <c r="H29" i="44"/>
  <c r="I29" i="44" s="1"/>
  <c r="J29" i="44" s="1"/>
  <c r="H25" i="44"/>
  <c r="I25" i="44" s="1"/>
  <c r="J25" i="44" s="1"/>
  <c r="AI20" i="44"/>
  <c r="AI25" i="44"/>
  <c r="AI21" i="44"/>
  <c r="AJ34" i="44"/>
  <c r="AJ22" i="44"/>
  <c r="AI34" i="44"/>
  <c r="AJ33" i="44"/>
  <c r="AI28" i="44"/>
  <c r="AJ21" i="44"/>
  <c r="AJ28" i="44"/>
  <c r="AI33" i="44"/>
  <c r="AI24" i="44"/>
  <c r="AJ38" i="44"/>
  <c r="AI36" i="44"/>
  <c r="I21" i="44"/>
  <c r="J21" i="44" s="1"/>
  <c r="AI32" i="44"/>
  <c r="AJ32" i="44"/>
  <c r="H32" i="44"/>
  <c r="AJ36" i="45"/>
  <c r="AI36" i="45"/>
  <c r="H36" i="45"/>
  <c r="AI26" i="45"/>
  <c r="AJ26" i="45"/>
  <c r="H26" i="45"/>
  <c r="I22" i="44"/>
  <c r="J22" i="44" s="1"/>
  <c r="I38" i="44"/>
  <c r="J38" i="44" s="1"/>
  <c r="I24" i="44"/>
  <c r="J24" i="44" s="1"/>
  <c r="I29" i="45"/>
  <c r="J29" i="45" s="1"/>
  <c r="I32" i="45"/>
  <c r="J32" i="45" s="1"/>
  <c r="AJ25" i="45"/>
  <c r="AI25" i="45"/>
  <c r="H25" i="45"/>
  <c r="AJ37" i="44"/>
  <c r="I28" i="44"/>
  <c r="J28" i="44" s="1"/>
  <c r="AJ30" i="44"/>
  <c r="AI30" i="44"/>
  <c r="H30" i="44"/>
  <c r="I33" i="44"/>
  <c r="J33" i="44" s="1"/>
  <c r="I37" i="45"/>
  <c r="J37" i="45" s="1"/>
  <c r="I34" i="44"/>
  <c r="J34" i="44" s="1"/>
  <c r="AJ20" i="45"/>
  <c r="AI20" i="45"/>
  <c r="H20" i="45"/>
  <c r="I36" i="44"/>
  <c r="J36" i="44" s="1"/>
  <c r="AI26" i="44"/>
  <c r="AJ26" i="44"/>
  <c r="H26" i="44"/>
  <c r="AI21" i="45"/>
  <c r="AJ21" i="45"/>
  <c r="H21" i="45"/>
  <c r="I37" i="44"/>
  <c r="J37" i="44" s="1"/>
  <c r="I24" i="45"/>
  <c r="J24" i="45" s="1"/>
  <c r="H28" i="45"/>
  <c r="AI28" i="45"/>
  <c r="AJ28" i="45"/>
  <c r="H22" i="45"/>
  <c r="AI22" i="45"/>
  <c r="AJ22" i="45"/>
  <c r="I34" i="45"/>
  <c r="J34" i="45" s="1"/>
  <c r="AJ24" i="44"/>
  <c r="AI29" i="45"/>
  <c r="AI37" i="45"/>
  <c r="H33" i="45"/>
  <c r="AI33" i="45"/>
  <c r="AJ33" i="45"/>
  <c r="AI37" i="44"/>
  <c r="AJ36" i="44"/>
  <c r="H30" i="43"/>
  <c r="O30" i="43" s="1"/>
  <c r="P30" i="43" s="1"/>
  <c r="AM29" i="43"/>
  <c r="AM26" i="43"/>
  <c r="AK26" i="43"/>
  <c r="AK30" i="43"/>
  <c r="AM38" i="43"/>
  <c r="H24" i="43"/>
  <c r="AM24" i="43"/>
  <c r="AK24" i="43"/>
  <c r="I26" i="43"/>
  <c r="J26" i="43" s="1"/>
  <c r="O26" i="43"/>
  <c r="P26" i="43" s="1"/>
  <c r="AK21" i="43"/>
  <c r="AM21" i="43"/>
  <c r="H21" i="43"/>
  <c r="AK38" i="43"/>
  <c r="H22" i="43"/>
  <c r="AK22" i="43"/>
  <c r="AM22" i="43"/>
  <c r="O25" i="43"/>
  <c r="P25" i="43" s="1"/>
  <c r="I25" i="43"/>
  <c r="J25" i="43" s="1"/>
  <c r="I38" i="43"/>
  <c r="J38" i="43" s="1"/>
  <c r="O38" i="43"/>
  <c r="P38" i="43" s="1"/>
  <c r="AK37" i="43"/>
  <c r="H34" i="43"/>
  <c r="AM34" i="43"/>
  <c r="AK34" i="43"/>
  <c r="H33" i="43"/>
  <c r="AK33" i="43"/>
  <c r="AM33" i="43"/>
  <c r="O29" i="43"/>
  <c r="P29" i="43" s="1"/>
  <c r="I29" i="43"/>
  <c r="J29" i="43" s="1"/>
  <c r="H28" i="43"/>
  <c r="AK28" i="43"/>
  <c r="AM28" i="43"/>
  <c r="AK25" i="43"/>
  <c r="I37" i="43"/>
  <c r="J37" i="43" s="1"/>
  <c r="O37" i="43"/>
  <c r="P37" i="43" s="1"/>
  <c r="AM36" i="43"/>
  <c r="H36" i="43"/>
  <c r="AK36" i="43"/>
  <c r="AK29" i="43"/>
  <c r="AM37" i="43"/>
  <c r="AK32" i="43"/>
  <c r="AM32" i="43"/>
  <c r="H32" i="43"/>
  <c r="AM25" i="43"/>
  <c r="A2" i="26"/>
  <c r="I20" i="43" l="1"/>
  <c r="J20" i="43" s="1"/>
  <c r="I30" i="45"/>
  <c r="J30" i="45" s="1"/>
  <c r="I28" i="45"/>
  <c r="J28" i="45" s="1"/>
  <c r="I30" i="44"/>
  <c r="J30" i="44" s="1"/>
  <c r="I25" i="45"/>
  <c r="J25" i="45" s="1"/>
  <c r="I36" i="45"/>
  <c r="J36" i="45" s="1"/>
  <c r="I33" i="45"/>
  <c r="J33" i="45" s="1"/>
  <c r="I22" i="45"/>
  <c r="J22" i="45" s="1"/>
  <c r="I26" i="44"/>
  <c r="J26" i="44" s="1"/>
  <c r="I21" i="45"/>
  <c r="J21" i="45" s="1"/>
  <c r="I20" i="45"/>
  <c r="J20" i="45" s="1"/>
  <c r="I26" i="45"/>
  <c r="J26" i="45" s="1"/>
  <c r="I32" i="44"/>
  <c r="J32" i="44" s="1"/>
  <c r="I30" i="43"/>
  <c r="J30" i="43" s="1"/>
  <c r="O24" i="43"/>
  <c r="P24" i="43" s="1"/>
  <c r="I24" i="43"/>
  <c r="J24" i="43" s="1"/>
  <c r="I28" i="43"/>
  <c r="J28" i="43" s="1"/>
  <c r="O28" i="43"/>
  <c r="P28" i="43" s="1"/>
  <c r="O34" i="43"/>
  <c r="P34" i="43" s="1"/>
  <c r="I34" i="43"/>
  <c r="J34" i="43" s="1"/>
  <c r="I21" i="43"/>
  <c r="J21" i="43" s="1"/>
  <c r="O21" i="43"/>
  <c r="P21" i="43" s="1"/>
  <c r="I32" i="43"/>
  <c r="J32" i="43" s="1"/>
  <c r="O32" i="43"/>
  <c r="P32" i="43" s="1"/>
  <c r="O36" i="43"/>
  <c r="P36" i="43" s="1"/>
  <c r="I36" i="43"/>
  <c r="J36" i="43" s="1"/>
  <c r="I33" i="43"/>
  <c r="J33" i="43" s="1"/>
  <c r="O33" i="43"/>
  <c r="P33" i="43" s="1"/>
  <c r="I22" i="43"/>
  <c r="J22" i="43" s="1"/>
  <c r="O22" i="43"/>
  <c r="P22" i="43" s="1"/>
  <c r="A2" i="37"/>
  <c r="A2" i="25" l="1"/>
  <c r="A2" i="24" l="1"/>
  <c r="A3" i="15" l="1"/>
  <c r="A2" i="15"/>
  <c r="A38" i="35" l="1"/>
  <c r="A4" i="31" l="1"/>
  <c r="A4" i="42"/>
  <c r="A4" i="26"/>
  <c r="A4" i="37"/>
  <c r="A4" i="25"/>
  <c r="A4" i="24"/>
  <c r="A4" i="15"/>
  <c r="A2" i="33"/>
  <c r="E20" i="37" l="1"/>
  <c r="E29" i="26"/>
  <c r="E25" i="26"/>
  <c r="E21" i="26"/>
  <c r="F29" i="25"/>
  <c r="E33" i="24"/>
  <c r="E33" i="15"/>
  <c r="E36" i="15"/>
  <c r="A39" i="41"/>
  <c r="S39" i="33"/>
  <c r="V17" i="32"/>
  <c r="U17" i="32"/>
  <c r="Z39" i="33"/>
  <c r="X39" i="33" l="1"/>
  <c r="R39" i="33" s="1"/>
  <c r="M56" i="5"/>
  <c r="L56" i="5"/>
  <c r="K56" i="5"/>
  <c r="I53" i="5" l="1"/>
  <c r="R12" i="46" s="1"/>
  <c r="H53" i="5"/>
  <c r="R11" i="46" s="1"/>
  <c r="H33" i="46" l="1"/>
  <c r="H27" i="46"/>
  <c r="H25" i="46"/>
  <c r="H31" i="46"/>
  <c r="H23" i="46"/>
  <c r="H21" i="46"/>
  <c r="H35" i="46"/>
  <c r="H29" i="46"/>
  <c r="I33" i="46"/>
  <c r="I25" i="46"/>
  <c r="I35" i="46"/>
  <c r="I21" i="46"/>
  <c r="I27" i="46"/>
  <c r="I31" i="46"/>
  <c r="I29" i="46"/>
  <c r="I23" i="46"/>
  <c r="B265" i="2" l="1"/>
  <c r="B266" i="2"/>
  <c r="B21" i="2"/>
  <c r="B22" i="2"/>
  <c r="B19" i="2"/>
  <c r="B20" i="2"/>
  <c r="A38" i="33" l="1"/>
  <c r="G63" i="5" l="1"/>
  <c r="G53" i="5"/>
  <c r="R10" i="46" l="1"/>
  <c r="S265" i="2"/>
  <c r="S266" i="2"/>
  <c r="J56" i="5"/>
  <c r="G29" i="46" l="1"/>
  <c r="G27" i="46"/>
  <c r="G21" i="46"/>
  <c r="G35" i="46"/>
  <c r="G33" i="46"/>
  <c r="G23" i="46"/>
  <c r="G31" i="46"/>
  <c r="G25" i="46"/>
  <c r="G266" i="2"/>
  <c r="G265" i="2"/>
  <c r="H9" i="36"/>
  <c r="K9" i="34"/>
  <c r="K9" i="35"/>
  <c r="K8" i="2"/>
  <c r="P9" i="31"/>
  <c r="P9" i="42"/>
  <c r="P9" i="26"/>
  <c r="P9" i="37"/>
  <c r="Q9" i="25"/>
  <c r="P9" i="24"/>
  <c r="P9" i="15"/>
  <c r="L9" i="41"/>
  <c r="L9" i="27"/>
  <c r="P9" i="32"/>
  <c r="L9" i="33"/>
  <c r="L9" i="4"/>
  <c r="J23" i="46" l="1"/>
  <c r="K23" i="46"/>
  <c r="K27" i="46"/>
  <c r="J27" i="46"/>
  <c r="K33" i="46"/>
  <c r="J33" i="46"/>
  <c r="K29" i="46"/>
  <c r="J29" i="46"/>
  <c r="K25" i="46"/>
  <c r="J25" i="46"/>
  <c r="K35" i="46"/>
  <c r="J35" i="46"/>
  <c r="K31" i="46"/>
  <c r="J31" i="46"/>
  <c r="K21" i="46"/>
  <c r="J21" i="46"/>
  <c r="AC20" i="31"/>
  <c r="S20" i="31"/>
  <c r="AG17" i="31"/>
  <c r="AF17" i="31"/>
  <c r="AE17" i="31"/>
  <c r="AD17" i="31"/>
  <c r="W17" i="31"/>
  <c r="V17" i="31"/>
  <c r="U17" i="31"/>
  <c r="T17" i="31"/>
  <c r="L31" i="46" l="1"/>
  <c r="L23" i="46"/>
  <c r="L21" i="46"/>
  <c r="L27" i="46"/>
  <c r="L35" i="46"/>
  <c r="L29" i="46"/>
  <c r="L25" i="46"/>
  <c r="L33" i="46"/>
  <c r="A45" i="42"/>
  <c r="A41" i="42"/>
  <c r="E38" i="42"/>
  <c r="E37" i="42"/>
  <c r="E36" i="42"/>
  <c r="E34" i="42"/>
  <c r="E33" i="42"/>
  <c r="E32" i="42"/>
  <c r="E30" i="42"/>
  <c r="E29" i="42"/>
  <c r="E28" i="42"/>
  <c r="E26" i="42"/>
  <c r="E25" i="42"/>
  <c r="E24" i="42"/>
  <c r="E22" i="42"/>
  <c r="E21" i="42"/>
  <c r="AC20" i="42"/>
  <c r="AC33" i="42" s="1"/>
  <c r="S20" i="42"/>
  <c r="E20" i="42"/>
  <c r="P18" i="42"/>
  <c r="O18" i="42"/>
  <c r="N18" i="42"/>
  <c r="J18" i="42"/>
  <c r="I18" i="42"/>
  <c r="AG17" i="42"/>
  <c r="AG36" i="42" s="1"/>
  <c r="AF17" i="42"/>
  <c r="AF36" i="42" s="1"/>
  <c r="AE17" i="42"/>
  <c r="AD17" i="42"/>
  <c r="W17" i="42"/>
  <c r="W33" i="42" s="1"/>
  <c r="V17" i="42"/>
  <c r="U17" i="42"/>
  <c r="T17" i="42"/>
  <c r="A9" i="42"/>
  <c r="A8" i="42"/>
  <c r="P7" i="42"/>
  <c r="A7" i="42"/>
  <c r="A3" i="42"/>
  <c r="A1" i="42"/>
  <c r="AC22" i="42" l="1"/>
  <c r="AC34" i="42"/>
  <c r="AC38" i="42"/>
  <c r="AC28" i="42"/>
  <c r="W30" i="42"/>
  <c r="W26" i="42"/>
  <c r="AC29" i="42"/>
  <c r="AC24" i="42"/>
  <c r="AF20" i="42"/>
  <c r="AF21" i="42"/>
  <c r="AF32" i="42"/>
  <c r="AG22" i="42"/>
  <c r="W28" i="42"/>
  <c r="AF30" i="42"/>
  <c r="AG33" i="42"/>
  <c r="W37" i="42"/>
  <c r="W38" i="42"/>
  <c r="W20" i="42"/>
  <c r="W25" i="42"/>
  <c r="AF26" i="42"/>
  <c r="W36" i="42"/>
  <c r="AF37" i="42"/>
  <c r="W21" i="42"/>
  <c r="W22" i="42"/>
  <c r="AF25" i="42"/>
  <c r="AG28" i="42"/>
  <c r="W32" i="42"/>
  <c r="AG38" i="42"/>
  <c r="T38" i="42"/>
  <c r="T33" i="42"/>
  <c r="T28" i="42"/>
  <c r="T22" i="42"/>
  <c r="T34" i="42"/>
  <c r="T29" i="42"/>
  <c r="T24" i="42"/>
  <c r="T36" i="42"/>
  <c r="T30" i="42"/>
  <c r="T25" i="42"/>
  <c r="T37" i="42"/>
  <c r="T32" i="42"/>
  <c r="T26" i="42"/>
  <c r="T21" i="42"/>
  <c r="AD36" i="42"/>
  <c r="AD30" i="42"/>
  <c r="AD25" i="42"/>
  <c r="AD20" i="42"/>
  <c r="AD34" i="42"/>
  <c r="AD29" i="42"/>
  <c r="AD24" i="42"/>
  <c r="AD38" i="42"/>
  <c r="AD37" i="42"/>
  <c r="AD33" i="42"/>
  <c r="AD32" i="42"/>
  <c r="AD28" i="42"/>
  <c r="AD26" i="42"/>
  <c r="AD22" i="42"/>
  <c r="AD21" i="42"/>
  <c r="U37" i="42"/>
  <c r="U32" i="42"/>
  <c r="U26" i="42"/>
  <c r="U21" i="42"/>
  <c r="U36" i="42"/>
  <c r="U30" i="42"/>
  <c r="U25" i="42"/>
  <c r="U38" i="42"/>
  <c r="U33" i="42"/>
  <c r="U28" i="42"/>
  <c r="U22" i="42"/>
  <c r="U20" i="42"/>
  <c r="U34" i="42"/>
  <c r="U29" i="42"/>
  <c r="U24" i="42"/>
  <c r="AE34" i="42"/>
  <c r="AE29" i="42"/>
  <c r="AE24" i="42"/>
  <c r="AE36" i="42"/>
  <c r="AE30" i="42"/>
  <c r="AE25" i="42"/>
  <c r="AE38" i="42"/>
  <c r="AE37" i="42"/>
  <c r="AE33" i="42"/>
  <c r="AE32" i="42"/>
  <c r="AE28" i="42"/>
  <c r="AE26" i="42"/>
  <c r="AE22" i="42"/>
  <c r="AE21" i="42"/>
  <c r="S34" i="42"/>
  <c r="S29" i="42"/>
  <c r="S24" i="42"/>
  <c r="S22" i="42"/>
  <c r="S36" i="42"/>
  <c r="S30" i="42"/>
  <c r="S25" i="42"/>
  <c r="S38" i="42"/>
  <c r="S37" i="42"/>
  <c r="S33" i="42"/>
  <c r="S32" i="42"/>
  <c r="S28" i="42"/>
  <c r="S26" i="42"/>
  <c r="S21" i="42"/>
  <c r="T20" i="42"/>
  <c r="AE20" i="42"/>
  <c r="V36" i="42"/>
  <c r="V30" i="42"/>
  <c r="V25" i="42"/>
  <c r="AF38" i="42"/>
  <c r="AF33" i="42"/>
  <c r="AF28" i="42"/>
  <c r="AF22" i="42"/>
  <c r="AC37" i="42"/>
  <c r="AC32" i="42"/>
  <c r="AC26" i="42"/>
  <c r="AC21" i="42"/>
  <c r="AG20" i="42"/>
  <c r="V24" i="42"/>
  <c r="AF24" i="42"/>
  <c r="AG25" i="42"/>
  <c r="V29" i="42"/>
  <c r="AF29" i="42"/>
  <c r="AG30" i="42"/>
  <c r="V34" i="42"/>
  <c r="AF34" i="42"/>
  <c r="W34" i="42"/>
  <c r="W29" i="42"/>
  <c r="W24" i="42"/>
  <c r="AG37" i="42"/>
  <c r="AG32" i="42"/>
  <c r="AG26" i="42"/>
  <c r="AG21" i="42"/>
  <c r="V20" i="42"/>
  <c r="V21" i="42"/>
  <c r="V22" i="42"/>
  <c r="AG24" i="42"/>
  <c r="AC25" i="42"/>
  <c r="V26" i="42"/>
  <c r="V28" i="42"/>
  <c r="AG29" i="42"/>
  <c r="AC30" i="42"/>
  <c r="V32" i="42"/>
  <c r="V33" i="42"/>
  <c r="AG34" i="42"/>
  <c r="AC36" i="42"/>
  <c r="V37" i="42"/>
  <c r="V38" i="42"/>
  <c r="AH36" i="42" l="1"/>
  <c r="AH24" i="42"/>
  <c r="H24" i="42" s="1"/>
  <c r="AH26" i="42"/>
  <c r="H26" i="42" s="1"/>
  <c r="AH28" i="42"/>
  <c r="H28" i="42" s="1"/>
  <c r="X33" i="42"/>
  <c r="G33" i="42" s="1"/>
  <c r="AH38" i="42"/>
  <c r="H38" i="42" s="1"/>
  <c r="AH20" i="42"/>
  <c r="H20" i="42" s="1"/>
  <c r="X29" i="42"/>
  <c r="G29" i="42" s="1"/>
  <c r="X24" i="42"/>
  <c r="G24" i="42" s="1"/>
  <c r="AH22" i="42"/>
  <c r="H22" i="42" s="1"/>
  <c r="X21" i="42"/>
  <c r="G21" i="42" s="1"/>
  <c r="X37" i="42"/>
  <c r="G37" i="42" s="1"/>
  <c r="AH21" i="42"/>
  <c r="H21" i="42" s="1"/>
  <c r="AH33" i="42"/>
  <c r="H33" i="42" s="1"/>
  <c r="AH29" i="42"/>
  <c r="H29" i="42" s="1"/>
  <c r="AH34" i="42"/>
  <c r="H34" i="42" s="1"/>
  <c r="X32" i="42"/>
  <c r="G32" i="42" s="1"/>
  <c r="AH30" i="42"/>
  <c r="X20" i="42"/>
  <c r="G20" i="42" s="1"/>
  <c r="AH25" i="42"/>
  <c r="AH32" i="42"/>
  <c r="X26" i="42"/>
  <c r="G26" i="42" s="1"/>
  <c r="X36" i="42"/>
  <c r="G36" i="42" s="1"/>
  <c r="X34" i="42"/>
  <c r="G34" i="42" s="1"/>
  <c r="AH37" i="42"/>
  <c r="X28" i="42"/>
  <c r="G28" i="42" s="1"/>
  <c r="X38" i="42"/>
  <c r="G38" i="42" s="1"/>
  <c r="X22" i="42"/>
  <c r="G22" i="42" s="1"/>
  <c r="H36" i="42"/>
  <c r="X25" i="42"/>
  <c r="G25" i="42" s="1"/>
  <c r="X30" i="42"/>
  <c r="G30" i="42" s="1"/>
  <c r="AM33" i="42" l="1"/>
  <c r="AK33" i="42"/>
  <c r="AM24" i="42"/>
  <c r="AK24" i="42"/>
  <c r="AK26" i="42"/>
  <c r="AM20" i="42"/>
  <c r="AM26" i="42"/>
  <c r="AK21" i="42"/>
  <c r="AK22" i="42"/>
  <c r="AM29" i="42"/>
  <c r="AM21" i="42"/>
  <c r="AK36" i="42"/>
  <c r="AK29" i="42"/>
  <c r="AK38" i="42"/>
  <c r="I22" i="42"/>
  <c r="J22" i="42" s="1"/>
  <c r="I28" i="42"/>
  <c r="J28" i="42" s="1"/>
  <c r="AM36" i="42"/>
  <c r="I20" i="42"/>
  <c r="J20" i="42" s="1"/>
  <c r="I34" i="42"/>
  <c r="J34" i="42" s="1"/>
  <c r="AK28" i="42"/>
  <c r="I36" i="42"/>
  <c r="J36" i="42" s="1"/>
  <c r="AM37" i="42"/>
  <c r="AK37" i="42"/>
  <c r="H37" i="42"/>
  <c r="H30" i="42"/>
  <c r="AM30" i="42"/>
  <c r="AK30" i="42"/>
  <c r="AK20" i="42"/>
  <c r="I29" i="42"/>
  <c r="J29" i="42" s="1"/>
  <c r="AM34" i="42"/>
  <c r="AM22" i="42"/>
  <c r="I33" i="42"/>
  <c r="J33" i="42" s="1"/>
  <c r="I21" i="42"/>
  <c r="J21" i="42" s="1"/>
  <c r="H25" i="42"/>
  <c r="AM25" i="42"/>
  <c r="AK25" i="42"/>
  <c r="AM38" i="42"/>
  <c r="AM28" i="42"/>
  <c r="AM32" i="42"/>
  <c r="AK32" i="42"/>
  <c r="H32" i="42"/>
  <c r="I26" i="42"/>
  <c r="J26" i="42" s="1"/>
  <c r="I38" i="42"/>
  <c r="J38" i="42" s="1"/>
  <c r="AK34" i="42"/>
  <c r="I24" i="42"/>
  <c r="J24" i="42" s="1"/>
  <c r="I25" i="42" l="1"/>
  <c r="J25" i="42" s="1"/>
  <c r="I30" i="42"/>
  <c r="J30" i="42" s="1"/>
  <c r="I32" i="42"/>
  <c r="J32" i="42" s="1"/>
  <c r="I37" i="42"/>
  <c r="J37" i="42" s="1"/>
  <c r="A237" i="2" l="1"/>
  <c r="K207" i="2"/>
  <c r="J207" i="2"/>
  <c r="I207" i="2"/>
  <c r="F207" i="2"/>
  <c r="E207" i="2"/>
  <c r="A190" i="2"/>
  <c r="A144" i="2"/>
  <c r="K160" i="2"/>
  <c r="J160" i="2"/>
  <c r="I160" i="2"/>
  <c r="F160" i="2"/>
  <c r="E160" i="2"/>
  <c r="K122" i="2"/>
  <c r="J122" i="2"/>
  <c r="I122" i="2"/>
  <c r="F122" i="2"/>
  <c r="E122" i="2"/>
  <c r="A107" i="2"/>
  <c r="K87" i="2"/>
  <c r="J87" i="2"/>
  <c r="I87" i="2"/>
  <c r="F87" i="2"/>
  <c r="E87" i="2"/>
  <c r="A72" i="2"/>
  <c r="A31" i="2"/>
  <c r="K46" i="2"/>
  <c r="J46" i="2"/>
  <c r="I46" i="2"/>
  <c r="F46" i="2"/>
  <c r="E46" i="2"/>
  <c r="A41" i="34" l="1"/>
  <c r="A45" i="31"/>
  <c r="A45" i="26"/>
  <c r="A44" i="37"/>
  <c r="A44" i="25"/>
  <c r="A44" i="24"/>
  <c r="A44" i="15"/>
  <c r="A41" i="41"/>
  <c r="A41" i="27"/>
  <c r="A43" i="32"/>
  <c r="A40" i="33"/>
  <c r="A40" i="4"/>
  <c r="W21" i="33" l="1"/>
  <c r="AB20" i="24" l="1"/>
  <c r="AB38" i="24" s="1"/>
  <c r="S20" i="24"/>
  <c r="AD20" i="25"/>
  <c r="T20" i="25"/>
  <c r="AB25" i="24" l="1"/>
  <c r="AB30" i="24"/>
  <c r="AB36" i="24"/>
  <c r="AB24" i="24"/>
  <c r="AB29" i="24"/>
  <c r="AB34" i="24"/>
  <c r="AB21" i="24"/>
  <c r="AB26" i="24"/>
  <c r="AB32" i="24"/>
  <c r="AB37" i="24"/>
  <c r="AB22" i="24"/>
  <c r="AB28" i="24"/>
  <c r="AB33" i="24"/>
  <c r="AC20" i="26"/>
  <c r="S20" i="26"/>
  <c r="R18" i="33" l="1"/>
  <c r="S18" i="33"/>
  <c r="R21" i="33" l="1"/>
  <c r="R25" i="33"/>
  <c r="I65" i="5"/>
  <c r="Q11" i="34" s="1"/>
  <c r="H65" i="5"/>
  <c r="G65" i="5"/>
  <c r="Q10" i="34" s="1"/>
  <c r="I64" i="5"/>
  <c r="Q11" i="35" s="1"/>
  <c r="H64" i="5"/>
  <c r="G64" i="5"/>
  <c r="Q10" i="35" s="1"/>
  <c r="R10" i="41" l="1"/>
  <c r="G33" i="41" s="1"/>
  <c r="W18" i="41"/>
  <c r="W25" i="41" s="1"/>
  <c r="V21" i="41"/>
  <c r="V35" i="41" s="1"/>
  <c r="Q21" i="41"/>
  <c r="Q23" i="41" s="1"/>
  <c r="R18" i="41"/>
  <c r="R35" i="41" s="1"/>
  <c r="L18" i="41"/>
  <c r="K18" i="41"/>
  <c r="J18" i="41"/>
  <c r="F18" i="41"/>
  <c r="E18" i="41"/>
  <c r="A9" i="41"/>
  <c r="A8" i="41"/>
  <c r="L7" i="41"/>
  <c r="A7" i="41"/>
  <c r="A4" i="41"/>
  <c r="A3" i="41"/>
  <c r="A2" i="41"/>
  <c r="A1" i="41"/>
  <c r="R23" i="41" l="1"/>
  <c r="R10" i="27"/>
  <c r="Q27" i="41"/>
  <c r="R11" i="27"/>
  <c r="R11" i="41"/>
  <c r="H29" i="41" s="1"/>
  <c r="Q33" i="41"/>
  <c r="R33" i="41"/>
  <c r="Q31" i="41"/>
  <c r="S23" i="41"/>
  <c r="C23" i="41" s="1"/>
  <c r="W33" i="41"/>
  <c r="W35" i="41"/>
  <c r="X35" i="41" s="1"/>
  <c r="D35" i="41" s="1"/>
  <c r="Q35" i="41"/>
  <c r="S35" i="41" s="1"/>
  <c r="C35" i="41" s="1"/>
  <c r="W27" i="41"/>
  <c r="G35" i="41"/>
  <c r="W23" i="41"/>
  <c r="W29" i="41"/>
  <c r="W21" i="41"/>
  <c r="X21" i="41" s="1"/>
  <c r="G21" i="41"/>
  <c r="G25" i="41"/>
  <c r="G29" i="41"/>
  <c r="W31" i="41"/>
  <c r="V25" i="41"/>
  <c r="X25" i="41" s="1"/>
  <c r="R27" i="41"/>
  <c r="V29" i="41"/>
  <c r="R31" i="41"/>
  <c r="V33" i="41"/>
  <c r="G23" i="41"/>
  <c r="Q25" i="41"/>
  <c r="G27" i="41"/>
  <c r="Q29" i="41"/>
  <c r="G31" i="41"/>
  <c r="R21" i="41"/>
  <c r="S21" i="41" s="1"/>
  <c r="C21" i="41" s="1"/>
  <c r="V23" i="41"/>
  <c r="R25" i="41"/>
  <c r="V27" i="41"/>
  <c r="R29" i="41"/>
  <c r="V31" i="41"/>
  <c r="S33" i="41" l="1"/>
  <c r="C33" i="41" s="1"/>
  <c r="H31" i="41"/>
  <c r="H23" i="41"/>
  <c r="H21" i="41"/>
  <c r="H27" i="41"/>
  <c r="S27" i="41"/>
  <c r="C27" i="41" s="1"/>
  <c r="H35" i="41"/>
  <c r="H33" i="41"/>
  <c r="H25" i="41"/>
  <c r="S31" i="41"/>
  <c r="C31" i="41" s="1"/>
  <c r="X27" i="41"/>
  <c r="X29" i="41"/>
  <c r="D29" i="41" s="1"/>
  <c r="E35" i="41"/>
  <c r="F35" i="41" s="1"/>
  <c r="X23" i="41"/>
  <c r="D23" i="41" s="1"/>
  <c r="X33" i="41"/>
  <c r="S29" i="41"/>
  <c r="C29" i="41" s="1"/>
  <c r="X31" i="41"/>
  <c r="S25" i="41"/>
  <c r="C25" i="41" s="1"/>
  <c r="AE21" i="41"/>
  <c r="D21" i="41"/>
  <c r="AC21" i="41"/>
  <c r="D25" i="41"/>
  <c r="AE33" i="41" l="1"/>
  <c r="AE23" i="41"/>
  <c r="AE31" i="41"/>
  <c r="AE27" i="41"/>
  <c r="AC27" i="41"/>
  <c r="D33" i="41"/>
  <c r="E33" i="41" s="1"/>
  <c r="F33" i="41" s="1"/>
  <c r="D27" i="41"/>
  <c r="E27" i="41" s="1"/>
  <c r="F27" i="41" s="1"/>
  <c r="AC23" i="41"/>
  <c r="AC33" i="41"/>
  <c r="AE29" i="41"/>
  <c r="AC29" i="41"/>
  <c r="AE25" i="41"/>
  <c r="AC31" i="41"/>
  <c r="D31" i="41"/>
  <c r="E31" i="41" s="1"/>
  <c r="F31" i="41" s="1"/>
  <c r="AC25" i="41"/>
  <c r="E21" i="41"/>
  <c r="F21" i="41" s="1"/>
  <c r="E23" i="41"/>
  <c r="F23" i="41" s="1"/>
  <c r="E29" i="41"/>
  <c r="F29" i="41" s="1"/>
  <c r="E25" i="41"/>
  <c r="F25" i="41" s="1"/>
  <c r="I54" i="5" l="1"/>
  <c r="H54" i="5"/>
  <c r="G54" i="5"/>
  <c r="J15" i="2" l="1"/>
  <c r="I15" i="2"/>
  <c r="E38" i="31"/>
  <c r="E37" i="31"/>
  <c r="E36" i="31"/>
  <c r="E34" i="31"/>
  <c r="E33" i="31"/>
  <c r="E32" i="31"/>
  <c r="E30" i="31"/>
  <c r="E29" i="31"/>
  <c r="E28" i="31"/>
  <c r="E26" i="31"/>
  <c r="E25" i="31"/>
  <c r="E24" i="31"/>
  <c r="E22" i="31"/>
  <c r="E21" i="31"/>
  <c r="E20" i="31"/>
  <c r="E38" i="26"/>
  <c r="E37" i="26"/>
  <c r="E36" i="26"/>
  <c r="E34" i="26"/>
  <c r="E33" i="26"/>
  <c r="E32" i="26"/>
  <c r="E30" i="26"/>
  <c r="E28" i="26"/>
  <c r="E26" i="26"/>
  <c r="E24" i="26"/>
  <c r="E22" i="26"/>
  <c r="E20" i="26"/>
  <c r="E21" i="37"/>
  <c r="E24" i="37"/>
  <c r="F30" i="25"/>
  <c r="F22" i="25"/>
  <c r="E34" i="24"/>
  <c r="E30" i="24"/>
  <c r="E24" i="32"/>
  <c r="A41" i="26"/>
  <c r="A41" i="25"/>
  <c r="A41" i="24"/>
  <c r="A41" i="15"/>
  <c r="A41" i="37"/>
  <c r="J9" i="39" l="1"/>
  <c r="A38" i="34"/>
  <c r="A41" i="31"/>
  <c r="A38" i="4"/>
  <c r="L18" i="4"/>
  <c r="J10" i="39" l="1"/>
  <c r="J11" i="39" s="1"/>
  <c r="K18" i="27"/>
  <c r="J18" i="27"/>
  <c r="K18" i="33"/>
  <c r="J18" i="33"/>
  <c r="F18" i="36"/>
  <c r="E18" i="36"/>
  <c r="K18" i="35"/>
  <c r="K18" i="34"/>
  <c r="K18" i="4"/>
  <c r="J18" i="4"/>
  <c r="L18" i="27"/>
  <c r="P18" i="32"/>
  <c r="L18" i="33"/>
  <c r="P18" i="15"/>
  <c r="P18" i="24"/>
  <c r="Q18" i="25"/>
  <c r="P18" i="37"/>
  <c r="P18" i="26"/>
  <c r="P18" i="31"/>
  <c r="J18" i="34"/>
  <c r="I18" i="34"/>
  <c r="F18" i="34"/>
  <c r="E18" i="34"/>
  <c r="J18" i="35"/>
  <c r="I18" i="35"/>
  <c r="F18" i="35"/>
  <c r="E18" i="35"/>
  <c r="K15" i="2"/>
  <c r="F15" i="2"/>
  <c r="E15" i="2"/>
  <c r="O18" i="31"/>
  <c r="N18" i="31"/>
  <c r="J18" i="31"/>
  <c r="I18" i="31"/>
  <c r="O18" i="26"/>
  <c r="N18" i="26"/>
  <c r="J18" i="26"/>
  <c r="I18" i="26"/>
  <c r="O18" i="37"/>
  <c r="N18" i="37"/>
  <c r="J18" i="37"/>
  <c r="I18" i="37"/>
  <c r="O18" i="24"/>
  <c r="N18" i="24"/>
  <c r="J18" i="24"/>
  <c r="I18" i="24"/>
  <c r="O18" i="15"/>
  <c r="N18" i="15"/>
  <c r="J18" i="15"/>
  <c r="I18" i="15"/>
  <c r="F18" i="27"/>
  <c r="E18" i="27"/>
  <c r="O18" i="32"/>
  <c r="N18" i="32"/>
  <c r="J18" i="32"/>
  <c r="I18" i="32"/>
  <c r="F18" i="33"/>
  <c r="E18" i="33"/>
  <c r="F18" i="4"/>
  <c r="E18" i="4"/>
  <c r="P18" i="25"/>
  <c r="O18" i="25"/>
  <c r="K18" i="25"/>
  <c r="J18" i="25"/>
  <c r="P7" i="15"/>
  <c r="P7" i="24"/>
  <c r="Q7" i="25"/>
  <c r="P7" i="37"/>
  <c r="P7" i="26"/>
  <c r="P7" i="31"/>
  <c r="P7" i="32"/>
  <c r="H7" i="36"/>
  <c r="A9" i="36"/>
  <c r="A8" i="36"/>
  <c r="A7" i="36"/>
  <c r="A4" i="36"/>
  <c r="A3" i="36"/>
  <c r="A2" i="36"/>
  <c r="A1" i="36"/>
  <c r="K153" i="2"/>
  <c r="K199" i="2" s="1"/>
  <c r="K246" i="2" s="1"/>
  <c r="K7" i="35"/>
  <c r="K7" i="34"/>
  <c r="K6" i="2"/>
  <c r="K151" i="2" s="1"/>
  <c r="K197" i="2" s="1"/>
  <c r="K244" i="2" s="1"/>
  <c r="A8" i="35"/>
  <c r="A8" i="34"/>
  <c r="A7" i="2"/>
  <c r="A152" i="2" s="1"/>
  <c r="A198" i="2" s="1"/>
  <c r="A245" i="2" s="1"/>
  <c r="A9" i="35"/>
  <c r="A9" i="34"/>
  <c r="A8" i="2"/>
  <c r="A153" i="2" s="1"/>
  <c r="A199" i="2" s="1"/>
  <c r="A246" i="2" s="1"/>
  <c r="A7" i="35"/>
  <c r="A7" i="34"/>
  <c r="A6" i="2"/>
  <c r="A151" i="2" s="1"/>
  <c r="A197" i="2" s="1"/>
  <c r="A244" i="2" s="1"/>
  <c r="A4" i="35"/>
  <c r="A4" i="34"/>
  <c r="A4" i="2"/>
  <c r="A3" i="35"/>
  <c r="A3" i="34"/>
  <c r="A3" i="2"/>
  <c r="A2" i="35"/>
  <c r="A2" i="34"/>
  <c r="A2" i="2"/>
  <c r="A1" i="35"/>
  <c r="A1" i="34"/>
  <c r="A1" i="2"/>
  <c r="A4" i="32"/>
  <c r="A2" i="32"/>
  <c r="A4" i="27"/>
  <c r="A3" i="27"/>
  <c r="A2" i="27"/>
  <c r="A1" i="27"/>
  <c r="A4" i="33"/>
  <c r="A3" i="33"/>
  <c r="A1" i="33"/>
  <c r="A4" i="4"/>
  <c r="A2" i="4"/>
  <c r="A1" i="32"/>
  <c r="A1" i="15"/>
  <c r="A1" i="24"/>
  <c r="A1" i="25"/>
  <c r="A1" i="37"/>
  <c r="A1" i="26"/>
  <c r="A1" i="31"/>
  <c r="A1" i="4"/>
  <c r="L7" i="33"/>
  <c r="L7" i="27"/>
  <c r="L7" i="4"/>
  <c r="A9" i="33"/>
  <c r="A9" i="32"/>
  <c r="A9" i="27"/>
  <c r="A9" i="15"/>
  <c r="A9" i="24"/>
  <c r="A9" i="25"/>
  <c r="A9" i="37"/>
  <c r="A9" i="26"/>
  <c r="A9" i="31"/>
  <c r="A9" i="4"/>
  <c r="A8" i="33"/>
  <c r="A8" i="32"/>
  <c r="A8" i="27"/>
  <c r="A8" i="15"/>
  <c r="A8" i="24"/>
  <c r="A8" i="25"/>
  <c r="A8" i="37"/>
  <c r="A8" i="26"/>
  <c r="A8" i="31"/>
  <c r="A8" i="4"/>
  <c r="A7" i="33"/>
  <c r="A7" i="32"/>
  <c r="A7" i="27"/>
  <c r="A7" i="15"/>
  <c r="A7" i="24"/>
  <c r="A7" i="25"/>
  <c r="A7" i="37"/>
  <c r="A7" i="26"/>
  <c r="A7" i="31"/>
  <c r="A7" i="4"/>
  <c r="A3" i="32"/>
  <c r="A3" i="24"/>
  <c r="A3" i="25"/>
  <c r="A3" i="37"/>
  <c r="A3" i="26"/>
  <c r="A3" i="31"/>
  <c r="A3" i="4"/>
  <c r="A194" i="2" l="1"/>
  <c r="A241" i="2"/>
  <c r="A193" i="2"/>
  <c r="A240" i="2"/>
  <c r="A195" i="2"/>
  <c r="A242" i="2"/>
  <c r="A146" i="2"/>
  <c r="A239" i="2"/>
  <c r="A192" i="2"/>
  <c r="A147" i="2"/>
  <c r="A74" i="2"/>
  <c r="A149" i="2"/>
  <c r="A76" i="2"/>
  <c r="A73" i="2"/>
  <c r="A148" i="2"/>
  <c r="A75" i="2"/>
  <c r="K39" i="2"/>
  <c r="K80" i="2" s="1"/>
  <c r="K115" i="2"/>
  <c r="K37" i="2"/>
  <c r="K78" i="2" s="1"/>
  <c r="K113" i="2"/>
  <c r="A34" i="2"/>
  <c r="A110" i="2"/>
  <c r="A38" i="2"/>
  <c r="A79" i="2" s="1"/>
  <c r="A114" i="2"/>
  <c r="A33" i="2"/>
  <c r="A109" i="2"/>
  <c r="A39" i="2"/>
  <c r="A80" i="2" s="1"/>
  <c r="A115" i="2"/>
  <c r="A32" i="2"/>
  <c r="A108" i="2"/>
  <c r="A37" i="2"/>
  <c r="A78" i="2" s="1"/>
  <c r="A113" i="2"/>
  <c r="A35" i="2"/>
  <c r="A111" i="2"/>
  <c r="J12" i="39"/>
  <c r="S33" i="33"/>
  <c r="R31" i="33"/>
  <c r="J13" i="39" l="1"/>
  <c r="R27" i="33"/>
  <c r="R29" i="33"/>
  <c r="R33" i="33"/>
  <c r="R35" i="33"/>
  <c r="S27" i="33"/>
  <c r="S21" i="33"/>
  <c r="S29" i="33"/>
  <c r="R23" i="33"/>
  <c r="S23" i="33"/>
  <c r="S31" i="33"/>
  <c r="S35" i="33"/>
  <c r="S25" i="33"/>
  <c r="J14" i="39" l="1"/>
  <c r="X17" i="25"/>
  <c r="W17" i="25"/>
  <c r="V17" i="25"/>
  <c r="U18" i="24"/>
  <c r="U17" i="24"/>
  <c r="U18" i="15"/>
  <c r="U17" i="15"/>
  <c r="J15" i="39" l="1"/>
  <c r="I66" i="5"/>
  <c r="H66" i="5"/>
  <c r="G66" i="5"/>
  <c r="J16" i="39" l="1"/>
  <c r="B257" i="2"/>
  <c r="B221" i="2"/>
  <c r="B215" i="2"/>
  <c r="B233" i="2"/>
  <c r="B232" i="2"/>
  <c r="B231" i="2"/>
  <c r="B230" i="2"/>
  <c r="B229" i="2"/>
  <c r="B260" i="2"/>
  <c r="B259" i="2"/>
  <c r="B262" i="2"/>
  <c r="B261" i="2"/>
  <c r="B258" i="2"/>
  <c r="B226" i="2"/>
  <c r="B225" i="2"/>
  <c r="B224" i="2"/>
  <c r="B223" i="2"/>
  <c r="B222" i="2"/>
  <c r="B220" i="2"/>
  <c r="B219" i="2"/>
  <c r="B218" i="2"/>
  <c r="B217" i="2"/>
  <c r="B216" i="2"/>
  <c r="B214" i="2"/>
  <c r="B213" i="2"/>
  <c r="B211" i="2"/>
  <c r="B210" i="2"/>
  <c r="W17" i="26"/>
  <c r="V17" i="26"/>
  <c r="U17" i="26"/>
  <c r="W17" i="37"/>
  <c r="V17" i="37"/>
  <c r="U17" i="37"/>
  <c r="U36" i="37" s="1"/>
  <c r="E38" i="37"/>
  <c r="E37" i="37"/>
  <c r="E36" i="37"/>
  <c r="E34" i="37"/>
  <c r="E33" i="37"/>
  <c r="E32" i="37"/>
  <c r="E30" i="37"/>
  <c r="E29" i="37"/>
  <c r="E28" i="37"/>
  <c r="E26" i="37"/>
  <c r="E25" i="37"/>
  <c r="E22" i="37"/>
  <c r="AC20" i="37"/>
  <c r="AC25" i="37" s="1"/>
  <c r="S20" i="37"/>
  <c r="S38" i="37" s="1"/>
  <c r="AG17" i="37"/>
  <c r="AG29" i="37" s="1"/>
  <c r="AF17" i="37"/>
  <c r="AF28" i="37" s="1"/>
  <c r="AE17" i="37"/>
  <c r="AD17" i="37"/>
  <c r="AD36" i="37" s="1"/>
  <c r="T17" i="37"/>
  <c r="D4" i="5"/>
  <c r="C4" i="5"/>
  <c r="Q21" i="33" s="1"/>
  <c r="T21" i="33" s="1"/>
  <c r="R12" i="27" l="1"/>
  <c r="R12" i="41"/>
  <c r="B212" i="2"/>
  <c r="U33" i="37"/>
  <c r="U29" i="37"/>
  <c r="J17" i="39"/>
  <c r="T20" i="37"/>
  <c r="AG36" i="37"/>
  <c r="U21" i="37"/>
  <c r="U20" i="37"/>
  <c r="U22" i="37"/>
  <c r="AF21" i="37"/>
  <c r="AC26" i="37"/>
  <c r="AG37" i="37"/>
  <c r="S32" i="37"/>
  <c r="S25" i="37"/>
  <c r="S28" i="37"/>
  <c r="S36" i="37"/>
  <c r="U38" i="37"/>
  <c r="S21" i="37"/>
  <c r="S22" i="37"/>
  <c r="U24" i="37"/>
  <c r="U25" i="37"/>
  <c r="S26" i="37"/>
  <c r="U28" i="37"/>
  <c r="S30" i="37"/>
  <c r="S33" i="37"/>
  <c r="U34" i="37"/>
  <c r="S37" i="37"/>
  <c r="AC34" i="37"/>
  <c r="AC24" i="37"/>
  <c r="AD25" i="37"/>
  <c r="AD32" i="37"/>
  <c r="AC21" i="37"/>
  <c r="AD33" i="37"/>
  <c r="AD30" i="37"/>
  <c r="AD22" i="37"/>
  <c r="AD21" i="37"/>
  <c r="AG21" i="37"/>
  <c r="AG25" i="37"/>
  <c r="AG26" i="37"/>
  <c r="V38" i="37"/>
  <c r="V33" i="37"/>
  <c r="V28" i="37"/>
  <c r="V22" i="37"/>
  <c r="V34" i="37"/>
  <c r="V24" i="37"/>
  <c r="V29" i="37"/>
  <c r="V37" i="37"/>
  <c r="V36" i="37"/>
  <c r="V26" i="37"/>
  <c r="V25" i="37"/>
  <c r="V20" i="37"/>
  <c r="V21" i="37"/>
  <c r="AE36" i="37"/>
  <c r="AE30" i="37"/>
  <c r="AE25" i="37"/>
  <c r="AE34" i="37"/>
  <c r="AE33" i="37"/>
  <c r="AE32" i="37"/>
  <c r="AE22" i="37"/>
  <c r="AE38" i="37"/>
  <c r="AE37" i="37"/>
  <c r="AE29" i="37"/>
  <c r="AE28" i="37"/>
  <c r="AE26" i="37"/>
  <c r="AE21" i="37"/>
  <c r="AE24" i="37"/>
  <c r="AE20" i="37"/>
  <c r="AD26" i="37"/>
  <c r="T26" i="37"/>
  <c r="T29" i="37"/>
  <c r="V32" i="37"/>
  <c r="AD37" i="37"/>
  <c r="W34" i="37"/>
  <c r="W29" i="37"/>
  <c r="W24" i="37"/>
  <c r="W33" i="37"/>
  <c r="W32" i="37"/>
  <c r="W30" i="37"/>
  <c r="W38" i="37"/>
  <c r="W37" i="37"/>
  <c r="W36" i="37"/>
  <c r="W28" i="37"/>
  <c r="W26" i="37"/>
  <c r="W25" i="37"/>
  <c r="W20" i="37"/>
  <c r="W21" i="37"/>
  <c r="W22" i="37"/>
  <c r="AF37" i="37"/>
  <c r="AF32" i="37"/>
  <c r="AF26" i="37"/>
  <c r="AF30" i="37"/>
  <c r="AF20" i="37"/>
  <c r="AF36" i="37"/>
  <c r="AF25" i="37"/>
  <c r="AF34" i="37"/>
  <c r="AF33" i="37"/>
  <c r="AF24" i="37"/>
  <c r="AF22" i="37"/>
  <c r="AF29" i="37"/>
  <c r="V30" i="37"/>
  <c r="AD38" i="37"/>
  <c r="AD28" i="37"/>
  <c r="T28" i="37"/>
  <c r="AF38" i="37"/>
  <c r="T36" i="37"/>
  <c r="T30" i="37"/>
  <c r="T25" i="37"/>
  <c r="AG38" i="37"/>
  <c r="AG33" i="37"/>
  <c r="AG28" i="37"/>
  <c r="AG22" i="37"/>
  <c r="AC38" i="37"/>
  <c r="AC33" i="37"/>
  <c r="AC28" i="37"/>
  <c r="AC22" i="37"/>
  <c r="AG20" i="37"/>
  <c r="AC29" i="37"/>
  <c r="AG30" i="37"/>
  <c r="AG32" i="37"/>
  <c r="U37" i="37"/>
  <c r="U32" i="37"/>
  <c r="U26" i="37"/>
  <c r="AD34" i="37"/>
  <c r="AD29" i="37"/>
  <c r="AD24" i="37"/>
  <c r="S34" i="37"/>
  <c r="S29" i="37"/>
  <c r="S24" i="37"/>
  <c r="AD20" i="37"/>
  <c r="T21" i="37"/>
  <c r="T22" i="37"/>
  <c r="T24" i="37"/>
  <c r="AG24" i="37"/>
  <c r="U30" i="37"/>
  <c r="AC30" i="37"/>
  <c r="T32" i="37"/>
  <c r="AC32" i="37"/>
  <c r="T33" i="37"/>
  <c r="T34" i="37"/>
  <c r="AG34" i="37"/>
  <c r="AC36" i="37"/>
  <c r="T37" i="37"/>
  <c r="AC37" i="37"/>
  <c r="T38" i="37"/>
  <c r="I33" i="41" l="1"/>
  <c r="I35" i="41"/>
  <c r="I31" i="41"/>
  <c r="I25" i="41"/>
  <c r="I23" i="41"/>
  <c r="I21" i="41"/>
  <c r="I27" i="41"/>
  <c r="I29" i="41"/>
  <c r="J18" i="39"/>
  <c r="AH33" i="37"/>
  <c r="X22" i="37"/>
  <c r="G22" i="37" s="1"/>
  <c r="X33" i="37"/>
  <c r="G33" i="37" s="1"/>
  <c r="AH34" i="37"/>
  <c r="H34" i="37" s="1"/>
  <c r="AH32" i="37"/>
  <c r="H32" i="37" s="1"/>
  <c r="X25" i="37"/>
  <c r="G25" i="37" s="1"/>
  <c r="AH37" i="37"/>
  <c r="H37" i="37" s="1"/>
  <c r="AH24" i="37"/>
  <c r="H24" i="37" s="1"/>
  <c r="AH21" i="37"/>
  <c r="H21" i="37" s="1"/>
  <c r="X28" i="37"/>
  <c r="G28" i="37" s="1"/>
  <c r="X32" i="37"/>
  <c r="G32" i="37" s="1"/>
  <c r="AH20" i="37"/>
  <c r="H20" i="37" s="1"/>
  <c r="AH25" i="37"/>
  <c r="H25" i="37" s="1"/>
  <c r="X20" i="37"/>
  <c r="G20" i="37" s="1"/>
  <c r="X30" i="37"/>
  <c r="G30" i="37" s="1"/>
  <c r="X36" i="37"/>
  <c r="G36" i="37" s="1"/>
  <c r="X21" i="37"/>
  <c r="G21" i="37" s="1"/>
  <c r="X26" i="37"/>
  <c r="G26" i="37" s="1"/>
  <c r="X38" i="37"/>
  <c r="G38" i="37" s="1"/>
  <c r="X24" i="37"/>
  <c r="G24" i="37" s="1"/>
  <c r="X37" i="37"/>
  <c r="G37" i="37" s="1"/>
  <c r="AH38" i="37"/>
  <c r="AH36" i="37"/>
  <c r="AH30" i="37"/>
  <c r="X34" i="37"/>
  <c r="G34" i="37" s="1"/>
  <c r="AH29" i="37"/>
  <c r="AH22" i="37"/>
  <c r="X29" i="37"/>
  <c r="G29" i="37" s="1"/>
  <c r="AH26" i="37"/>
  <c r="AH28" i="37"/>
  <c r="J25" i="41" l="1"/>
  <c r="K25" i="41"/>
  <c r="J31" i="41"/>
  <c r="K31" i="41"/>
  <c r="J21" i="41"/>
  <c r="K21" i="41"/>
  <c r="K35" i="41"/>
  <c r="J35" i="41"/>
  <c r="J29" i="41"/>
  <c r="K29" i="41"/>
  <c r="J27" i="41"/>
  <c r="K27" i="41"/>
  <c r="J23" i="41"/>
  <c r="K23" i="41"/>
  <c r="J33" i="41"/>
  <c r="K33" i="41"/>
  <c r="J19" i="39"/>
  <c r="J20" i="39" s="1"/>
  <c r="J21" i="39" s="1"/>
  <c r="J22" i="39" s="1"/>
  <c r="J23" i="39" s="1"/>
  <c r="J24" i="39" s="1"/>
  <c r="J25" i="39" s="1"/>
  <c r="AK25" i="37"/>
  <c r="AM33" i="37"/>
  <c r="AK33" i="37"/>
  <c r="H33" i="37"/>
  <c r="I33" i="37" s="1"/>
  <c r="J33" i="37" s="1"/>
  <c r="AK21" i="37"/>
  <c r="AK32" i="37"/>
  <c r="AM32" i="37"/>
  <c r="AM21" i="37"/>
  <c r="AM25" i="37"/>
  <c r="AK20" i="37"/>
  <c r="AM20" i="37"/>
  <c r="AK24" i="37"/>
  <c r="AM24" i="37"/>
  <c r="I32" i="37"/>
  <c r="J32" i="37" s="1"/>
  <c r="I21" i="37"/>
  <c r="J21" i="37" s="1"/>
  <c r="I25" i="37"/>
  <c r="J25" i="37" s="1"/>
  <c r="I20" i="37"/>
  <c r="J20" i="37" s="1"/>
  <c r="AK34" i="37"/>
  <c r="AM30" i="37"/>
  <c r="H30" i="37"/>
  <c r="AK30" i="37"/>
  <c r="I24" i="37"/>
  <c r="J24" i="37" s="1"/>
  <c r="AM37" i="37"/>
  <c r="AM28" i="37"/>
  <c r="H28" i="37"/>
  <c r="AK28" i="37"/>
  <c r="AM22" i="37"/>
  <c r="H22" i="37"/>
  <c r="AK22" i="37"/>
  <c r="H36" i="37"/>
  <c r="AM36" i="37"/>
  <c r="AK36" i="37"/>
  <c r="I37" i="37"/>
  <c r="J37" i="37" s="1"/>
  <c r="I34" i="37"/>
  <c r="J34" i="37" s="1"/>
  <c r="AK26" i="37"/>
  <c r="AM26" i="37"/>
  <c r="H26" i="37"/>
  <c r="AK29" i="37"/>
  <c r="H29" i="37"/>
  <c r="AM29" i="37"/>
  <c r="AM38" i="37"/>
  <c r="H38" i="37"/>
  <c r="AK38" i="37"/>
  <c r="AK37" i="37"/>
  <c r="AM34" i="37"/>
  <c r="L33" i="41" l="1"/>
  <c r="L27" i="41"/>
  <c r="L31" i="41"/>
  <c r="L35" i="41"/>
  <c r="L23" i="41"/>
  <c r="L29" i="41"/>
  <c r="L21" i="41"/>
  <c r="L25" i="41"/>
  <c r="I26" i="37"/>
  <c r="J26" i="37" s="1"/>
  <c r="I28" i="37"/>
  <c r="J28" i="37" s="1"/>
  <c r="I36" i="37"/>
  <c r="J36" i="37" s="1"/>
  <c r="I29" i="37"/>
  <c r="J29" i="37" s="1"/>
  <c r="I30" i="37"/>
  <c r="J30" i="37" s="1"/>
  <c r="I38" i="37"/>
  <c r="J38" i="37" s="1"/>
  <c r="I22" i="37"/>
  <c r="J22" i="37" s="1"/>
  <c r="S21" i="2" l="1"/>
  <c r="S20" i="2"/>
  <c r="S22" i="2"/>
  <c r="S19" i="2"/>
  <c r="S212" i="2"/>
  <c r="S261" i="2"/>
  <c r="G261" i="2" s="1"/>
  <c r="S213" i="2"/>
  <c r="G213" i="2" s="1"/>
  <c r="S230" i="2"/>
  <c r="G230" i="2" s="1"/>
  <c r="S258" i="2"/>
  <c r="G258" i="2" s="1"/>
  <c r="S231" i="2"/>
  <c r="G231" i="2" s="1"/>
  <c r="S215" i="2"/>
  <c r="G215" i="2" s="1"/>
  <c r="S229" i="2"/>
  <c r="G229" i="2" s="1"/>
  <c r="S214" i="2"/>
  <c r="G214" i="2" s="1"/>
  <c r="S232" i="2"/>
  <c r="G232" i="2" s="1"/>
  <c r="S233" i="2"/>
  <c r="G233" i="2" s="1"/>
  <c r="G33" i="35"/>
  <c r="G33" i="34"/>
  <c r="S257" i="2"/>
  <c r="G257" i="2" s="1"/>
  <c r="G19" i="2" l="1"/>
  <c r="G21" i="2"/>
  <c r="G20" i="2"/>
  <c r="G22" i="2"/>
  <c r="G212" i="2"/>
  <c r="G31" i="34"/>
  <c r="G25" i="35"/>
  <c r="G31" i="35"/>
  <c r="G29" i="34"/>
  <c r="G27" i="35"/>
  <c r="G29" i="35"/>
  <c r="G23" i="35"/>
  <c r="G25" i="34"/>
  <c r="G27" i="34"/>
  <c r="G21" i="34"/>
  <c r="G23" i="34"/>
  <c r="G21" i="35"/>
  <c r="G35" i="35"/>
  <c r="G35" i="34"/>
  <c r="H63" i="5"/>
  <c r="I63" i="5"/>
  <c r="E89" i="5"/>
  <c r="D89" i="5"/>
  <c r="C89" i="5"/>
  <c r="I61" i="5"/>
  <c r="H61" i="5"/>
  <c r="G61" i="5"/>
  <c r="I60" i="5"/>
  <c r="H60" i="5"/>
  <c r="G60" i="5"/>
  <c r="I59" i="5"/>
  <c r="U12" i="25" s="1"/>
  <c r="H59" i="5"/>
  <c r="U11" i="25" s="1"/>
  <c r="G59" i="5"/>
  <c r="U10" i="25" s="1"/>
  <c r="I58" i="5"/>
  <c r="H58" i="5"/>
  <c r="G58" i="5"/>
  <c r="I57" i="5"/>
  <c r="H57" i="5"/>
  <c r="G57" i="5"/>
  <c r="I56" i="5"/>
  <c r="H56" i="5"/>
  <c r="G56" i="5"/>
  <c r="I55" i="5"/>
  <c r="H55" i="5"/>
  <c r="G55" i="5"/>
  <c r="T10" i="26" l="1"/>
  <c r="T10" i="42"/>
  <c r="T10" i="31"/>
  <c r="T11" i="26"/>
  <c r="T11" i="42"/>
  <c r="T11" i="31"/>
  <c r="L22" i="31" s="1"/>
  <c r="T12" i="26"/>
  <c r="T12" i="31"/>
  <c r="T12" i="42"/>
  <c r="T10" i="15"/>
  <c r="T12" i="15"/>
  <c r="T10" i="24"/>
  <c r="T265" i="2"/>
  <c r="T266" i="2"/>
  <c r="T11" i="24"/>
  <c r="L34" i="24" s="1"/>
  <c r="T11" i="15"/>
  <c r="T12" i="24"/>
  <c r="T20" i="2"/>
  <c r="U20" i="2" s="1"/>
  <c r="I20" i="2" s="1"/>
  <c r="T21" i="2"/>
  <c r="U21" i="2" s="1"/>
  <c r="I21" i="2" s="1"/>
  <c r="T22" i="2"/>
  <c r="U22" i="2" s="1"/>
  <c r="I22" i="2" s="1"/>
  <c r="T19" i="2"/>
  <c r="U19" i="2" s="1"/>
  <c r="T212" i="2"/>
  <c r="H212" i="2" s="1"/>
  <c r="L30" i="24"/>
  <c r="L30" i="31"/>
  <c r="M22" i="25"/>
  <c r="M30" i="25"/>
  <c r="I21" i="4"/>
  <c r="I92" i="5"/>
  <c r="I91" i="5"/>
  <c r="G91" i="5"/>
  <c r="G92" i="5"/>
  <c r="H92" i="5"/>
  <c r="H91" i="5"/>
  <c r="T12" i="37"/>
  <c r="T10" i="37"/>
  <c r="G35" i="4"/>
  <c r="T11" i="37"/>
  <c r="T230" i="2"/>
  <c r="H230" i="2" s="1"/>
  <c r="T261" i="2"/>
  <c r="H261" i="2" s="1"/>
  <c r="T213" i="2"/>
  <c r="H213" i="2" s="1"/>
  <c r="T229" i="2"/>
  <c r="H229" i="2" s="1"/>
  <c r="T214" i="2"/>
  <c r="H214" i="2" s="1"/>
  <c r="T231" i="2"/>
  <c r="H231" i="2" s="1"/>
  <c r="T215" i="2"/>
  <c r="H215" i="2" s="1"/>
  <c r="T233" i="2"/>
  <c r="H233" i="2" s="1"/>
  <c r="T258" i="2"/>
  <c r="H258" i="2" s="1"/>
  <c r="T232" i="2"/>
  <c r="H232" i="2" s="1"/>
  <c r="G33" i="27"/>
  <c r="G35" i="27"/>
  <c r="G27" i="27"/>
  <c r="G21" i="27"/>
  <c r="G29" i="27"/>
  <c r="I35" i="27"/>
  <c r="I31" i="27"/>
  <c r="I27" i="27"/>
  <c r="I23" i="27"/>
  <c r="I21" i="27"/>
  <c r="I33" i="27"/>
  <c r="I29" i="27"/>
  <c r="I25" i="27"/>
  <c r="T257" i="2"/>
  <c r="H257" i="2" s="1"/>
  <c r="G23" i="27"/>
  <c r="H27" i="4"/>
  <c r="G25" i="27"/>
  <c r="H35" i="27"/>
  <c r="H31" i="27"/>
  <c r="H27" i="27"/>
  <c r="H23" i="27"/>
  <c r="H33" i="27"/>
  <c r="H29" i="27"/>
  <c r="H25" i="27"/>
  <c r="H21" i="27"/>
  <c r="G31" i="27"/>
  <c r="F89" i="5"/>
  <c r="I89" i="5" s="1"/>
  <c r="L24" i="31" l="1"/>
  <c r="L32" i="31"/>
  <c r="L33" i="31"/>
  <c r="L26" i="31"/>
  <c r="L21" i="31"/>
  <c r="L29" i="31"/>
  <c r="L28" i="31"/>
  <c r="L25" i="31"/>
  <c r="L34" i="31"/>
  <c r="K37" i="42"/>
  <c r="K38" i="42"/>
  <c r="K29" i="42"/>
  <c r="K25" i="42"/>
  <c r="K22" i="42"/>
  <c r="K32" i="42"/>
  <c r="K33" i="42"/>
  <c r="K24" i="42"/>
  <c r="K20" i="42"/>
  <c r="K30" i="42"/>
  <c r="K26" i="42"/>
  <c r="K28" i="42"/>
  <c r="K36" i="42"/>
  <c r="K21" i="42"/>
  <c r="K34" i="42"/>
  <c r="M20" i="42"/>
  <c r="M22" i="42"/>
  <c r="M26" i="42"/>
  <c r="M24" i="42"/>
  <c r="M29" i="42"/>
  <c r="M38" i="42"/>
  <c r="M28" i="42"/>
  <c r="M32" i="42"/>
  <c r="M37" i="42"/>
  <c r="M25" i="42"/>
  <c r="M21" i="42"/>
  <c r="M33" i="42"/>
  <c r="M34" i="42"/>
  <c r="M30" i="42"/>
  <c r="M36" i="42"/>
  <c r="L34" i="42"/>
  <c r="L28" i="42"/>
  <c r="L21" i="42"/>
  <c r="L32" i="42"/>
  <c r="L36" i="42"/>
  <c r="L20" i="42"/>
  <c r="L22" i="42"/>
  <c r="L33" i="42"/>
  <c r="L30" i="42"/>
  <c r="L26" i="42"/>
  <c r="L37" i="42"/>
  <c r="L29" i="42"/>
  <c r="L24" i="42"/>
  <c r="L25" i="42"/>
  <c r="L38" i="42"/>
  <c r="I19" i="2"/>
  <c r="L30" i="44"/>
  <c r="L22" i="44"/>
  <c r="L24" i="44"/>
  <c r="L32" i="44"/>
  <c r="L33" i="44"/>
  <c r="L34" i="44"/>
  <c r="L25" i="44"/>
  <c r="L38" i="44"/>
  <c r="L37" i="44"/>
  <c r="L26" i="44"/>
  <c r="L36" i="44"/>
  <c r="L20" i="44"/>
  <c r="L28" i="44"/>
  <c r="L29" i="44"/>
  <c r="L21" i="44"/>
  <c r="H266" i="2"/>
  <c r="U266" i="2"/>
  <c r="V266" i="2"/>
  <c r="M20" i="44"/>
  <c r="M38" i="44"/>
  <c r="M28" i="44"/>
  <c r="M26" i="44"/>
  <c r="M34" i="44"/>
  <c r="M32" i="44"/>
  <c r="M24" i="44"/>
  <c r="M29" i="44"/>
  <c r="M36" i="44"/>
  <c r="M22" i="44"/>
  <c r="M30" i="44"/>
  <c r="M37" i="44"/>
  <c r="M33" i="44"/>
  <c r="M21" i="44"/>
  <c r="M25" i="44"/>
  <c r="H265" i="2"/>
  <c r="V265" i="2"/>
  <c r="U265" i="2"/>
  <c r="M37" i="45"/>
  <c r="M30" i="45"/>
  <c r="M25" i="45"/>
  <c r="M36" i="45"/>
  <c r="M20" i="45"/>
  <c r="M24" i="45"/>
  <c r="M34" i="45"/>
  <c r="M33" i="45"/>
  <c r="M26" i="45"/>
  <c r="M29" i="45"/>
  <c r="M28" i="45"/>
  <c r="M21" i="45"/>
  <c r="M22" i="45"/>
  <c r="M38" i="45"/>
  <c r="M32" i="45"/>
  <c r="L28" i="45"/>
  <c r="L24" i="45"/>
  <c r="L25" i="45"/>
  <c r="L32" i="45"/>
  <c r="L34" i="45"/>
  <c r="L29" i="45"/>
  <c r="L22" i="45"/>
  <c r="L20" i="45"/>
  <c r="L26" i="45"/>
  <c r="L38" i="45"/>
  <c r="L21" i="45"/>
  <c r="L36" i="45"/>
  <c r="L33" i="45"/>
  <c r="L30" i="45"/>
  <c r="L37" i="45"/>
  <c r="K38" i="45"/>
  <c r="K22" i="45"/>
  <c r="K33" i="45"/>
  <c r="K28" i="45"/>
  <c r="K34" i="45"/>
  <c r="K30" i="45"/>
  <c r="K32" i="45"/>
  <c r="K21" i="45"/>
  <c r="K36" i="45"/>
  <c r="K29" i="45"/>
  <c r="K25" i="45"/>
  <c r="K37" i="45"/>
  <c r="K24" i="45"/>
  <c r="K20" i="45"/>
  <c r="K26" i="45"/>
  <c r="K24" i="44"/>
  <c r="K33" i="44"/>
  <c r="K32" i="44"/>
  <c r="K22" i="44"/>
  <c r="K29" i="44"/>
  <c r="K21" i="44"/>
  <c r="K37" i="44"/>
  <c r="K30" i="44"/>
  <c r="K20" i="44"/>
  <c r="K34" i="44"/>
  <c r="K28" i="44"/>
  <c r="K25" i="44"/>
  <c r="K38" i="44"/>
  <c r="K36" i="44"/>
  <c r="K26" i="44"/>
  <c r="H20" i="2"/>
  <c r="V20" i="2"/>
  <c r="H19" i="2"/>
  <c r="V19" i="2"/>
  <c r="H21" i="2"/>
  <c r="V21" i="2"/>
  <c r="H22" i="2"/>
  <c r="V22" i="2"/>
  <c r="V212" i="2"/>
  <c r="U212" i="2"/>
  <c r="I212" i="2" s="1"/>
  <c r="G33" i="4"/>
  <c r="G21" i="4"/>
  <c r="L33" i="37"/>
  <c r="L28" i="37"/>
  <c r="L22" i="37"/>
  <c r="L30" i="37"/>
  <c r="L32" i="37"/>
  <c r="L26" i="37"/>
  <c r="L21" i="37"/>
  <c r="L25" i="37"/>
  <c r="L34" i="37"/>
  <c r="L29" i="37"/>
  <c r="L24" i="37"/>
  <c r="L24" i="32"/>
  <c r="G29" i="4"/>
  <c r="I31" i="4"/>
  <c r="I35" i="4"/>
  <c r="I27" i="4"/>
  <c r="I29" i="4"/>
  <c r="I33" i="4"/>
  <c r="I25" i="4"/>
  <c r="I23" i="4"/>
  <c r="G33" i="33"/>
  <c r="G21" i="33"/>
  <c r="G27" i="4"/>
  <c r="G23" i="4"/>
  <c r="H94" i="5"/>
  <c r="H29" i="4"/>
  <c r="G27" i="33"/>
  <c r="G31" i="33"/>
  <c r="G25" i="33"/>
  <c r="G23" i="33"/>
  <c r="G35" i="33"/>
  <c r="G29" i="33"/>
  <c r="H21" i="4"/>
  <c r="G25" i="4"/>
  <c r="H35" i="4"/>
  <c r="G31" i="4"/>
  <c r="H23" i="4"/>
  <c r="U233" i="2"/>
  <c r="I233" i="2" s="1"/>
  <c r="V233" i="2"/>
  <c r="V214" i="2"/>
  <c r="U214" i="2"/>
  <c r="I214" i="2" s="1"/>
  <c r="L36" i="37"/>
  <c r="L38" i="37"/>
  <c r="L20" i="37"/>
  <c r="L37" i="37"/>
  <c r="V231" i="2"/>
  <c r="U231" i="2"/>
  <c r="I231" i="2" s="1"/>
  <c r="V213" i="2"/>
  <c r="U213" i="2"/>
  <c r="I213" i="2" s="1"/>
  <c r="U230" i="2"/>
  <c r="I230" i="2" s="1"/>
  <c r="V230" i="2"/>
  <c r="K28" i="37"/>
  <c r="K30" i="37"/>
  <c r="K20" i="37"/>
  <c r="K21" i="37"/>
  <c r="K29" i="37"/>
  <c r="K38" i="37"/>
  <c r="K34" i="37"/>
  <c r="K36" i="37"/>
  <c r="K24" i="37"/>
  <c r="K32" i="37"/>
  <c r="K37" i="37"/>
  <c r="K26" i="37"/>
  <c r="K25" i="37"/>
  <c r="K22" i="37"/>
  <c r="K33" i="37"/>
  <c r="M24" i="37"/>
  <c r="M33" i="37"/>
  <c r="M20" i="37"/>
  <c r="M25" i="37"/>
  <c r="M34" i="37"/>
  <c r="M37" i="37"/>
  <c r="M30" i="37"/>
  <c r="M28" i="37"/>
  <c r="M32" i="37"/>
  <c r="M29" i="37"/>
  <c r="M38" i="37"/>
  <c r="M21" i="37"/>
  <c r="M36" i="37"/>
  <c r="M26" i="37"/>
  <c r="M22" i="37"/>
  <c r="V232" i="2"/>
  <c r="U232" i="2"/>
  <c r="I232" i="2" s="1"/>
  <c r="V229" i="2"/>
  <c r="U229" i="2"/>
  <c r="I229" i="2" s="1"/>
  <c r="U258" i="2"/>
  <c r="I258" i="2" s="1"/>
  <c r="V258" i="2"/>
  <c r="V215" i="2"/>
  <c r="U215" i="2"/>
  <c r="I215" i="2" s="1"/>
  <c r="U261" i="2"/>
  <c r="I261" i="2" s="1"/>
  <c r="V261" i="2"/>
  <c r="I29" i="33"/>
  <c r="I21" i="33"/>
  <c r="I31" i="33"/>
  <c r="I23" i="33"/>
  <c r="I33" i="33"/>
  <c r="I25" i="33"/>
  <c r="I35" i="33"/>
  <c r="I27" i="33"/>
  <c r="H21" i="33"/>
  <c r="H35" i="33"/>
  <c r="H27" i="33"/>
  <c r="H29" i="33"/>
  <c r="H31" i="33"/>
  <c r="H23" i="33"/>
  <c r="H33" i="33"/>
  <c r="H25" i="33"/>
  <c r="H33" i="35"/>
  <c r="H27" i="35"/>
  <c r="H29" i="35"/>
  <c r="H31" i="35"/>
  <c r="H35" i="35"/>
  <c r="H21" i="35"/>
  <c r="H23" i="35"/>
  <c r="H25" i="35"/>
  <c r="H31" i="4"/>
  <c r="H25" i="4"/>
  <c r="H33" i="4"/>
  <c r="H33" i="34"/>
  <c r="H35" i="34"/>
  <c r="H21" i="34"/>
  <c r="H23" i="34"/>
  <c r="H25" i="34"/>
  <c r="H27" i="34"/>
  <c r="H29" i="34"/>
  <c r="H31" i="34"/>
  <c r="H89" i="5"/>
  <c r="H93" i="5" s="1"/>
  <c r="G89" i="5"/>
  <c r="G94" i="5" s="1"/>
  <c r="I94" i="5"/>
  <c r="N28" i="42" l="1"/>
  <c r="O28" i="42"/>
  <c r="N24" i="42"/>
  <c r="O24" i="42"/>
  <c r="P24" i="42" s="1"/>
  <c r="N25" i="42"/>
  <c r="O25" i="42"/>
  <c r="P25" i="42" s="1"/>
  <c r="O34" i="42"/>
  <c r="N34" i="42"/>
  <c r="O26" i="42"/>
  <c r="N26" i="42"/>
  <c r="O33" i="42"/>
  <c r="N33" i="42"/>
  <c r="N29" i="42"/>
  <c r="O29" i="42"/>
  <c r="P29" i="42" s="1"/>
  <c r="N21" i="42"/>
  <c r="O21" i="42"/>
  <c r="P21" i="42" s="1"/>
  <c r="N30" i="42"/>
  <c r="O30" i="42"/>
  <c r="P30" i="42" s="1"/>
  <c r="N32" i="42"/>
  <c r="O32" i="42"/>
  <c r="P32" i="42" s="1"/>
  <c r="N38" i="42"/>
  <c r="O38" i="42"/>
  <c r="P38" i="42" s="1"/>
  <c r="N36" i="42"/>
  <c r="O36" i="42"/>
  <c r="P36" i="42" s="1"/>
  <c r="N20" i="42"/>
  <c r="O20" i="42"/>
  <c r="P20" i="42" s="1"/>
  <c r="N22" i="42"/>
  <c r="O22" i="42"/>
  <c r="P22" i="42" s="1"/>
  <c r="N37" i="42"/>
  <c r="O37" i="42"/>
  <c r="P37" i="42" s="1"/>
  <c r="E19" i="2"/>
  <c r="F19" i="2" s="1"/>
  <c r="N26" i="44"/>
  <c r="O26" i="44"/>
  <c r="O28" i="44"/>
  <c r="N28" i="44"/>
  <c r="O37" i="44"/>
  <c r="N37" i="44"/>
  <c r="N32" i="44"/>
  <c r="O32" i="44"/>
  <c r="N20" i="45"/>
  <c r="O20" i="45"/>
  <c r="N29" i="45"/>
  <c r="O29" i="45"/>
  <c r="N30" i="45"/>
  <c r="O30" i="45"/>
  <c r="N22" i="45"/>
  <c r="O22" i="45"/>
  <c r="I265" i="2"/>
  <c r="N36" i="44"/>
  <c r="O36" i="44"/>
  <c r="O34" i="44"/>
  <c r="N34" i="44"/>
  <c r="O21" i="44"/>
  <c r="N21" i="44"/>
  <c r="O33" i="44"/>
  <c r="N33" i="44"/>
  <c r="N24" i="45"/>
  <c r="O24" i="45"/>
  <c r="N36" i="45"/>
  <c r="O36" i="45"/>
  <c r="N34" i="45"/>
  <c r="O34" i="45"/>
  <c r="N38" i="45"/>
  <c r="O38" i="45"/>
  <c r="E265" i="2"/>
  <c r="F265" i="2" s="1"/>
  <c r="J265" i="2"/>
  <c r="O38" i="44"/>
  <c r="N38" i="44"/>
  <c r="N20" i="44"/>
  <c r="O20" i="44"/>
  <c r="N29" i="44"/>
  <c r="O29" i="44"/>
  <c r="N24" i="44"/>
  <c r="O24" i="44"/>
  <c r="O37" i="45"/>
  <c r="N37" i="45"/>
  <c r="N21" i="45"/>
  <c r="O21" i="45"/>
  <c r="N28" i="45"/>
  <c r="O28" i="45"/>
  <c r="J266" i="2"/>
  <c r="E266" i="2"/>
  <c r="F266" i="2" s="1"/>
  <c r="N25" i="44"/>
  <c r="O25" i="44"/>
  <c r="N30" i="44"/>
  <c r="O30" i="44"/>
  <c r="N22" i="44"/>
  <c r="O22" i="44"/>
  <c r="N26" i="45"/>
  <c r="O26" i="45"/>
  <c r="N25" i="45"/>
  <c r="O25" i="45"/>
  <c r="O32" i="45"/>
  <c r="N32" i="45"/>
  <c r="N33" i="45"/>
  <c r="O33" i="45"/>
  <c r="I266" i="2"/>
  <c r="J19" i="2"/>
  <c r="K19" i="2" s="1"/>
  <c r="J22" i="2"/>
  <c r="K22" i="2" s="1"/>
  <c r="E22" i="2"/>
  <c r="F22" i="2" s="1"/>
  <c r="E21" i="2"/>
  <c r="F21" i="2" s="1"/>
  <c r="J21" i="2"/>
  <c r="K21" i="2" s="1"/>
  <c r="J20" i="2"/>
  <c r="K20" i="2" s="1"/>
  <c r="E20" i="2"/>
  <c r="F20" i="2" s="1"/>
  <c r="E229" i="2"/>
  <c r="F229" i="2" s="1"/>
  <c r="J229" i="2"/>
  <c r="K229" i="2" s="1"/>
  <c r="J214" i="2"/>
  <c r="K214" i="2" s="1"/>
  <c r="E214" i="2"/>
  <c r="F214" i="2" s="1"/>
  <c r="J212" i="2"/>
  <c r="K212" i="2" s="1"/>
  <c r="E212" i="2"/>
  <c r="F212" i="2" s="1"/>
  <c r="J215" i="2"/>
  <c r="K215" i="2" s="1"/>
  <c r="E215" i="2"/>
  <c r="F215" i="2" s="1"/>
  <c r="J232" i="2"/>
  <c r="K232" i="2" s="1"/>
  <c r="E232" i="2"/>
  <c r="F232" i="2" s="1"/>
  <c r="J231" i="2"/>
  <c r="K231" i="2" s="1"/>
  <c r="E231" i="2"/>
  <c r="F231" i="2" s="1"/>
  <c r="E261" i="2"/>
  <c r="F261" i="2" s="1"/>
  <c r="J261" i="2"/>
  <c r="K261" i="2" s="1"/>
  <c r="J258" i="2"/>
  <c r="K258" i="2" s="1"/>
  <c r="E258" i="2"/>
  <c r="F258" i="2" s="1"/>
  <c r="E213" i="2"/>
  <c r="F213" i="2" s="1"/>
  <c r="J213" i="2"/>
  <c r="K213" i="2" s="1"/>
  <c r="E230" i="2"/>
  <c r="F230" i="2" s="1"/>
  <c r="J230" i="2"/>
  <c r="K230" i="2" s="1"/>
  <c r="E233" i="2"/>
  <c r="F233" i="2" s="1"/>
  <c r="J233" i="2"/>
  <c r="K233" i="2" s="1"/>
  <c r="N26" i="37"/>
  <c r="O26" i="37"/>
  <c r="N21" i="37"/>
  <c r="O21" i="37"/>
  <c r="N37" i="37"/>
  <c r="O37" i="37"/>
  <c r="N20" i="37"/>
  <c r="O20" i="37"/>
  <c r="N22" i="37"/>
  <c r="O22" i="37"/>
  <c r="O32" i="37"/>
  <c r="N32" i="37"/>
  <c r="N38" i="37"/>
  <c r="O38" i="37"/>
  <c r="N30" i="37"/>
  <c r="O30" i="37"/>
  <c r="N36" i="37"/>
  <c r="O36" i="37"/>
  <c r="N33" i="37"/>
  <c r="O33" i="37"/>
  <c r="N34" i="37"/>
  <c r="O34" i="37"/>
  <c r="N25" i="37"/>
  <c r="O25" i="37"/>
  <c r="N24" i="37"/>
  <c r="O24" i="37"/>
  <c r="N29" i="37"/>
  <c r="O29" i="37"/>
  <c r="N28" i="37"/>
  <c r="O28" i="37"/>
  <c r="G93" i="5"/>
  <c r="I93" i="5"/>
  <c r="P28" i="42" l="1"/>
  <c r="P33" i="42"/>
  <c r="P34" i="42"/>
  <c r="P26" i="42"/>
  <c r="P22" i="45"/>
  <c r="P29" i="45"/>
  <c r="P32" i="44"/>
  <c r="P37" i="45"/>
  <c r="P38" i="44"/>
  <c r="P33" i="44"/>
  <c r="P34" i="44"/>
  <c r="P26" i="45"/>
  <c r="P30" i="44"/>
  <c r="P21" i="45"/>
  <c r="P24" i="44"/>
  <c r="P20" i="44"/>
  <c r="K265" i="2"/>
  <c r="P34" i="45"/>
  <c r="P30" i="45"/>
  <c r="P20" i="45"/>
  <c r="P26" i="44"/>
  <c r="P24" i="45"/>
  <c r="P36" i="44"/>
  <c r="P32" i="45"/>
  <c r="K266" i="2"/>
  <c r="P21" i="44"/>
  <c r="P28" i="44"/>
  <c r="P33" i="45"/>
  <c r="P25" i="45"/>
  <c r="P22" i="44"/>
  <c r="P25" i="44"/>
  <c r="P28" i="45"/>
  <c r="P29" i="44"/>
  <c r="P38" i="45"/>
  <c r="P36" i="45"/>
  <c r="P37" i="44"/>
  <c r="P20" i="37"/>
  <c r="P21" i="37"/>
  <c r="P28" i="37"/>
  <c r="P24" i="37"/>
  <c r="P34" i="37"/>
  <c r="P36" i="37"/>
  <c r="P38" i="37"/>
  <c r="P22" i="37"/>
  <c r="P32" i="37"/>
  <c r="P29" i="37"/>
  <c r="P25" i="37"/>
  <c r="P33" i="37"/>
  <c r="P30" i="37"/>
  <c r="P37" i="37"/>
  <c r="P26" i="37"/>
  <c r="O35" i="36"/>
  <c r="Q35" i="36" s="1"/>
  <c r="D35" i="36" s="1"/>
  <c r="K18" i="36"/>
  <c r="K35" i="36" s="1"/>
  <c r="M35" i="36" s="1"/>
  <c r="C35" i="36" s="1"/>
  <c r="Z18" i="33"/>
  <c r="X18" i="33"/>
  <c r="T21" i="35"/>
  <c r="T31" i="35" s="1"/>
  <c r="P21" i="35"/>
  <c r="P27" i="35" s="1"/>
  <c r="U18" i="35"/>
  <c r="U31" i="35" s="1"/>
  <c r="Q18" i="35"/>
  <c r="Q31" i="35" s="1"/>
  <c r="U18" i="34"/>
  <c r="U35" i="34" s="1"/>
  <c r="Q18" i="34"/>
  <c r="Q31" i="34" s="1"/>
  <c r="T21" i="34"/>
  <c r="P21" i="34"/>
  <c r="X35" i="33" l="1"/>
  <c r="X21" i="33"/>
  <c r="X29" i="33"/>
  <c r="X27" i="33"/>
  <c r="X33" i="33"/>
  <c r="X23" i="33"/>
  <c r="X31" i="33"/>
  <c r="X25" i="33"/>
  <c r="Z31" i="33"/>
  <c r="Z23" i="33"/>
  <c r="Z29" i="33"/>
  <c r="Z21" i="33"/>
  <c r="Z35" i="33"/>
  <c r="Z27" i="33"/>
  <c r="Z33" i="33"/>
  <c r="Z25" i="33"/>
  <c r="T33" i="35"/>
  <c r="Q27" i="34"/>
  <c r="T23" i="35"/>
  <c r="Q35" i="34"/>
  <c r="T29" i="35"/>
  <c r="U21" i="35"/>
  <c r="V21" i="35" s="1"/>
  <c r="D21" i="35" s="1"/>
  <c r="U35" i="35"/>
  <c r="U23" i="35"/>
  <c r="E35" i="36"/>
  <c r="F35" i="36" s="1"/>
  <c r="Q21" i="34"/>
  <c r="V31" i="35"/>
  <c r="D31" i="35" s="1"/>
  <c r="U29" i="34"/>
  <c r="K25" i="36"/>
  <c r="M25" i="36" s="1"/>
  <c r="C25" i="36" s="1"/>
  <c r="U25" i="34"/>
  <c r="P29" i="35"/>
  <c r="P33" i="35"/>
  <c r="K23" i="36"/>
  <c r="M23" i="36" s="1"/>
  <c r="C23" i="36" s="1"/>
  <c r="K33" i="36"/>
  <c r="M33" i="36" s="1"/>
  <c r="C33" i="36" s="1"/>
  <c r="O25" i="36"/>
  <c r="Q25" i="36" s="1"/>
  <c r="D25" i="36" s="1"/>
  <c r="O29" i="36"/>
  <c r="Q29" i="36" s="1"/>
  <c r="D29" i="36" s="1"/>
  <c r="U21" i="34"/>
  <c r="V21" i="34" s="1"/>
  <c r="D21" i="34" s="1"/>
  <c r="U31" i="34"/>
  <c r="P23" i="35"/>
  <c r="P25" i="35"/>
  <c r="P31" i="35"/>
  <c r="R31" i="35" s="1"/>
  <c r="P35" i="35"/>
  <c r="K29" i="36"/>
  <c r="M29" i="36" s="1"/>
  <c r="C29" i="36" s="1"/>
  <c r="O21" i="36"/>
  <c r="Q21" i="36" s="1"/>
  <c r="O31" i="36"/>
  <c r="Q31" i="36" s="1"/>
  <c r="D31" i="36" s="1"/>
  <c r="U23" i="34"/>
  <c r="U33" i="34"/>
  <c r="K21" i="36"/>
  <c r="M21" i="36" s="1"/>
  <c r="C21" i="36" s="1"/>
  <c r="K31" i="36"/>
  <c r="M31" i="36" s="1"/>
  <c r="C31" i="36" s="1"/>
  <c r="O23" i="36"/>
  <c r="Q23" i="36" s="1"/>
  <c r="D23" i="36" s="1"/>
  <c r="O33" i="36"/>
  <c r="Q33" i="36" s="1"/>
  <c r="D33" i="36" s="1"/>
  <c r="O27" i="36"/>
  <c r="Q27" i="36" s="1"/>
  <c r="D27" i="36" s="1"/>
  <c r="V35" i="36"/>
  <c r="T35" i="36"/>
  <c r="K27" i="36"/>
  <c r="M27" i="36" s="1"/>
  <c r="C27" i="36" s="1"/>
  <c r="Q25" i="35"/>
  <c r="Q27" i="35"/>
  <c r="R27" i="35" s="1"/>
  <c r="C27" i="35" s="1"/>
  <c r="T25" i="35"/>
  <c r="Q29" i="35"/>
  <c r="Q33" i="35"/>
  <c r="Q35" i="35"/>
  <c r="Q21" i="35"/>
  <c r="R21" i="35" s="1"/>
  <c r="C21" i="35" s="1"/>
  <c r="I21" i="35" s="1"/>
  <c r="U29" i="35"/>
  <c r="Q23" i="35"/>
  <c r="U25" i="35"/>
  <c r="T27" i="35"/>
  <c r="U33" i="35"/>
  <c r="T35" i="35"/>
  <c r="U27" i="35"/>
  <c r="Q25" i="34"/>
  <c r="Q33" i="34"/>
  <c r="T23" i="34"/>
  <c r="T31" i="34"/>
  <c r="T25" i="34"/>
  <c r="T33" i="34"/>
  <c r="T27" i="34"/>
  <c r="T35" i="34"/>
  <c r="V35" i="34" s="1"/>
  <c r="Q23" i="34"/>
  <c r="Q29" i="34"/>
  <c r="U27" i="34"/>
  <c r="T29" i="34"/>
  <c r="R21" i="34"/>
  <c r="C21" i="34" s="1"/>
  <c r="P33" i="34"/>
  <c r="P29" i="34"/>
  <c r="P23" i="34"/>
  <c r="P35" i="34"/>
  <c r="P31" i="34"/>
  <c r="R31" i="34" s="1"/>
  <c r="C31" i="34" s="1"/>
  <c r="P25" i="34"/>
  <c r="P27" i="34"/>
  <c r="S16" i="2"/>
  <c r="J35" i="39" l="1"/>
  <c r="L32" i="39" s="1"/>
  <c r="L8" i="46" s="1"/>
  <c r="V33" i="35"/>
  <c r="D33" i="35" s="1"/>
  <c r="AA21" i="33"/>
  <c r="R27" i="34"/>
  <c r="C27" i="34" s="1"/>
  <c r="I27" i="34" s="1"/>
  <c r="V35" i="35"/>
  <c r="R23" i="35"/>
  <c r="R35" i="35"/>
  <c r="C35" i="35" s="1"/>
  <c r="I35" i="35" s="1"/>
  <c r="V25" i="36"/>
  <c r="E29" i="36"/>
  <c r="F29" i="36" s="1"/>
  <c r="T31" i="36"/>
  <c r="E23" i="36"/>
  <c r="F23" i="36" s="1"/>
  <c r="V23" i="35"/>
  <c r="D23" i="35" s="1"/>
  <c r="V29" i="35"/>
  <c r="D29" i="35" s="1"/>
  <c r="T29" i="36"/>
  <c r="R33" i="35"/>
  <c r="C33" i="35" s="1"/>
  <c r="I33" i="35" s="1"/>
  <c r="V29" i="34"/>
  <c r="D29" i="34" s="1"/>
  <c r="V23" i="34"/>
  <c r="D23" i="34" s="1"/>
  <c r="R25" i="35"/>
  <c r="C25" i="35" s="1"/>
  <c r="I25" i="35" s="1"/>
  <c r="V29" i="36"/>
  <c r="T23" i="36"/>
  <c r="R35" i="34"/>
  <c r="C35" i="34" s="1"/>
  <c r="V25" i="34"/>
  <c r="D25" i="34" s="1"/>
  <c r="V23" i="36"/>
  <c r="T25" i="36"/>
  <c r="E25" i="36"/>
  <c r="F25" i="36" s="1"/>
  <c r="V21" i="36"/>
  <c r="V31" i="34"/>
  <c r="D31" i="34" s="1"/>
  <c r="J31" i="34" s="1"/>
  <c r="R23" i="34"/>
  <c r="C23" i="34" s="1"/>
  <c r="I23" i="34" s="1"/>
  <c r="R29" i="34"/>
  <c r="C29" i="34" s="1"/>
  <c r="T21" i="36"/>
  <c r="C31" i="35"/>
  <c r="I31" i="35" s="1"/>
  <c r="AA31" i="35"/>
  <c r="V33" i="34"/>
  <c r="D33" i="34" s="1"/>
  <c r="R29" i="35"/>
  <c r="C29" i="35" s="1"/>
  <c r="I29" i="35" s="1"/>
  <c r="E27" i="36"/>
  <c r="F27" i="36" s="1"/>
  <c r="V33" i="36"/>
  <c r="D21" i="36"/>
  <c r="E21" i="36" s="1"/>
  <c r="F21" i="36" s="1"/>
  <c r="D35" i="34"/>
  <c r="J35" i="34" s="1"/>
  <c r="Y21" i="35"/>
  <c r="T33" i="36"/>
  <c r="V31" i="36"/>
  <c r="I27" i="35"/>
  <c r="E33" i="36"/>
  <c r="F33" i="36" s="1"/>
  <c r="Y21" i="34"/>
  <c r="E31" i="36"/>
  <c r="F31" i="36" s="1"/>
  <c r="AA21" i="34"/>
  <c r="J21" i="34"/>
  <c r="T27" i="36"/>
  <c r="V27" i="36"/>
  <c r="C23" i="35"/>
  <c r="I23" i="35" s="1"/>
  <c r="Y31" i="35"/>
  <c r="AA21" i="35"/>
  <c r="V25" i="35"/>
  <c r="D25" i="35" s="1"/>
  <c r="V27" i="35"/>
  <c r="J21" i="35"/>
  <c r="K21" i="35" s="1"/>
  <c r="E21" i="35"/>
  <c r="F21" i="35" s="1"/>
  <c r="J31" i="35"/>
  <c r="R33" i="34"/>
  <c r="V27" i="34"/>
  <c r="R25" i="34"/>
  <c r="I21" i="34"/>
  <c r="E21" i="34"/>
  <c r="F21" i="34" s="1"/>
  <c r="I31" i="34"/>
  <c r="L13" i="39" l="1"/>
  <c r="L12" i="39"/>
  <c r="L8" i="41" s="1"/>
  <c r="L16" i="39"/>
  <c r="P8" i="37" s="1"/>
  <c r="L11" i="39"/>
  <c r="L8" i="27" s="1"/>
  <c r="L9" i="39"/>
  <c r="L8" i="33" s="1"/>
  <c r="L15" i="39"/>
  <c r="Q8" i="25" s="1"/>
  <c r="L8" i="39"/>
  <c r="L29" i="39"/>
  <c r="K8" i="34" s="1"/>
  <c r="L30" i="39"/>
  <c r="P8" i="44" s="1"/>
  <c r="L31" i="39"/>
  <c r="P8" i="45" s="1"/>
  <c r="L10" i="39"/>
  <c r="P8" i="32" s="1"/>
  <c r="L20" i="39"/>
  <c r="P8" i="43" s="1"/>
  <c r="L14" i="39"/>
  <c r="P8" i="15"/>
  <c r="L8" i="4"/>
  <c r="L33" i="39"/>
  <c r="H8" i="36" s="1"/>
  <c r="L17" i="39"/>
  <c r="P8" i="26" s="1"/>
  <c r="L18" i="39"/>
  <c r="P8" i="42" s="1"/>
  <c r="L19" i="39"/>
  <c r="L21" i="39"/>
  <c r="K7" i="2" s="1"/>
  <c r="L22" i="39"/>
  <c r="K38" i="2" s="1"/>
  <c r="L23" i="39"/>
  <c r="K79" i="2" s="1"/>
  <c r="L24" i="39"/>
  <c r="K114" i="2" s="1"/>
  <c r="L25" i="39"/>
  <c r="K152" i="2" s="1"/>
  <c r="L26" i="39"/>
  <c r="K198" i="2" s="1"/>
  <c r="L28" i="39"/>
  <c r="K31" i="34"/>
  <c r="K21" i="34"/>
  <c r="K31" i="35"/>
  <c r="AA35" i="34"/>
  <c r="AA35" i="35"/>
  <c r="Y31" i="34"/>
  <c r="Y35" i="35"/>
  <c r="D35" i="35"/>
  <c r="E35" i="35" s="1"/>
  <c r="F35" i="35" s="1"/>
  <c r="AA23" i="35"/>
  <c r="E31" i="34"/>
  <c r="F31" i="34" s="1"/>
  <c r="AA31" i="34"/>
  <c r="Y25" i="35"/>
  <c r="Y29" i="34"/>
  <c r="AA33" i="34"/>
  <c r="Y23" i="35"/>
  <c r="Y33" i="34"/>
  <c r="Y33" i="35"/>
  <c r="AA29" i="34"/>
  <c r="AA33" i="35"/>
  <c r="E29" i="35"/>
  <c r="F29" i="35" s="1"/>
  <c r="E23" i="34"/>
  <c r="F23" i="34" s="1"/>
  <c r="J23" i="34"/>
  <c r="K23" i="34" s="1"/>
  <c r="Y35" i="34"/>
  <c r="E31" i="35"/>
  <c r="F31" i="35" s="1"/>
  <c r="AA23" i="34"/>
  <c r="T211" i="2"/>
  <c r="H211" i="2" s="1"/>
  <c r="S211" i="2"/>
  <c r="G211" i="2" s="1"/>
  <c r="T218" i="2"/>
  <c r="H218" i="2" s="1"/>
  <c r="S218" i="2"/>
  <c r="G218" i="2" s="1"/>
  <c r="T222" i="2"/>
  <c r="H222" i="2" s="1"/>
  <c r="S222" i="2"/>
  <c r="G222" i="2" s="1"/>
  <c r="T226" i="2"/>
  <c r="H226" i="2" s="1"/>
  <c r="S226" i="2"/>
  <c r="G226" i="2" s="1"/>
  <c r="T260" i="2"/>
  <c r="H260" i="2" s="1"/>
  <c r="S260" i="2"/>
  <c r="G260" i="2" s="1"/>
  <c r="S219" i="2"/>
  <c r="G219" i="2" s="1"/>
  <c r="T219" i="2"/>
  <c r="H219" i="2" s="1"/>
  <c r="S223" i="2"/>
  <c r="G223" i="2" s="1"/>
  <c r="T223" i="2"/>
  <c r="H223" i="2" s="1"/>
  <c r="E35" i="34"/>
  <c r="F35" i="34" s="1"/>
  <c r="E23" i="35"/>
  <c r="F23" i="35" s="1"/>
  <c r="Y29" i="35"/>
  <c r="T216" i="2"/>
  <c r="H216" i="2" s="1"/>
  <c r="S216" i="2"/>
  <c r="G216" i="2" s="1"/>
  <c r="T220" i="2"/>
  <c r="H220" i="2" s="1"/>
  <c r="S220" i="2"/>
  <c r="G220" i="2" s="1"/>
  <c r="T224" i="2"/>
  <c r="H224" i="2" s="1"/>
  <c r="S224" i="2"/>
  <c r="G224" i="2" s="1"/>
  <c r="T262" i="2"/>
  <c r="H262" i="2" s="1"/>
  <c r="S262" i="2"/>
  <c r="G262" i="2" s="1"/>
  <c r="S210" i="2"/>
  <c r="G210" i="2" s="1"/>
  <c r="T210" i="2"/>
  <c r="H210" i="2" s="1"/>
  <c r="S217" i="2"/>
  <c r="G217" i="2" s="1"/>
  <c r="T217" i="2"/>
  <c r="H217" i="2" s="1"/>
  <c r="S221" i="2"/>
  <c r="G221" i="2" s="1"/>
  <c r="T221" i="2"/>
  <c r="H221" i="2" s="1"/>
  <c r="S225" i="2"/>
  <c r="G225" i="2" s="1"/>
  <c r="T225" i="2"/>
  <c r="H225" i="2" s="1"/>
  <c r="S259" i="2"/>
  <c r="G259" i="2" s="1"/>
  <c r="T259" i="2"/>
  <c r="H259" i="2" s="1"/>
  <c r="I35" i="34"/>
  <c r="K35" i="34" s="1"/>
  <c r="AA29" i="35"/>
  <c r="Y23" i="34"/>
  <c r="J29" i="35"/>
  <c r="K29" i="35" s="1"/>
  <c r="J23" i="35"/>
  <c r="K23" i="35" s="1"/>
  <c r="AA25" i="35"/>
  <c r="E25" i="35"/>
  <c r="F25" i="35" s="1"/>
  <c r="J25" i="35"/>
  <c r="K25" i="35" s="1"/>
  <c r="D27" i="35"/>
  <c r="AA27" i="35"/>
  <c r="Y27" i="35"/>
  <c r="E33" i="35"/>
  <c r="F33" i="35" s="1"/>
  <c r="J33" i="35"/>
  <c r="K33" i="35" s="1"/>
  <c r="D27" i="34"/>
  <c r="AA27" i="34"/>
  <c r="Y27" i="34"/>
  <c r="C33" i="34"/>
  <c r="E33" i="34" s="1"/>
  <c r="F33" i="34" s="1"/>
  <c r="C25" i="34"/>
  <c r="Y25" i="34"/>
  <c r="AA25" i="34"/>
  <c r="J29" i="34"/>
  <c r="E29" i="34"/>
  <c r="F29" i="34" s="1"/>
  <c r="V257" i="2"/>
  <c r="Y18" i="33"/>
  <c r="V25" i="32"/>
  <c r="AB20" i="32"/>
  <c r="AC17" i="32"/>
  <c r="AE17" i="32"/>
  <c r="AE37" i="32" s="1"/>
  <c r="AD17" i="32"/>
  <c r="AD36" i="32" s="1"/>
  <c r="E38" i="32"/>
  <c r="E37" i="32"/>
  <c r="E36" i="32"/>
  <c r="E34" i="32"/>
  <c r="L34" i="32" s="1"/>
  <c r="E33" i="32"/>
  <c r="L33" i="32" s="1"/>
  <c r="E32" i="32"/>
  <c r="L32" i="32" s="1"/>
  <c r="E30" i="32"/>
  <c r="L30" i="32" s="1"/>
  <c r="E29" i="32"/>
  <c r="L29" i="32" s="1"/>
  <c r="E28" i="32"/>
  <c r="L28" i="32" s="1"/>
  <c r="E26" i="32"/>
  <c r="L26" i="32" s="1"/>
  <c r="E25" i="32"/>
  <c r="L25" i="32" s="1"/>
  <c r="E22" i="32"/>
  <c r="L22" i="32" s="1"/>
  <c r="E21" i="32"/>
  <c r="L21" i="32" s="1"/>
  <c r="E20" i="32"/>
  <c r="AG33" i="31"/>
  <c r="AF22" i="31"/>
  <c r="W34" i="31"/>
  <c r="V34" i="31"/>
  <c r="T36" i="31"/>
  <c r="W38" i="31"/>
  <c r="W33" i="31"/>
  <c r="W29" i="31"/>
  <c r="AC21" i="31"/>
  <c r="S36" i="31"/>
  <c r="T17" i="32"/>
  <c r="S20" i="32"/>
  <c r="K8" i="35" l="1"/>
  <c r="P8" i="31"/>
  <c r="P8" i="24"/>
  <c r="AB37" i="32"/>
  <c r="T36" i="32"/>
  <c r="AC25" i="32"/>
  <c r="J257" i="2"/>
  <c r="K20" i="31"/>
  <c r="L20" i="31"/>
  <c r="M20" i="31"/>
  <c r="K28" i="31"/>
  <c r="M28" i="31"/>
  <c r="M26" i="32"/>
  <c r="K26" i="32"/>
  <c r="K29" i="31"/>
  <c r="M29" i="31"/>
  <c r="K37" i="31"/>
  <c r="L37" i="31"/>
  <c r="M37" i="31"/>
  <c r="M22" i="32"/>
  <c r="K22" i="32"/>
  <c r="K33" i="32"/>
  <c r="M33" i="32"/>
  <c r="M38" i="32"/>
  <c r="L38" i="32"/>
  <c r="K38" i="32"/>
  <c r="M25" i="31"/>
  <c r="K25" i="31"/>
  <c r="L38" i="31"/>
  <c r="K38" i="31"/>
  <c r="M38" i="31"/>
  <c r="M24" i="32"/>
  <c r="K24" i="32"/>
  <c r="M29" i="32"/>
  <c r="K29" i="32"/>
  <c r="M34" i="32"/>
  <c r="K34" i="32"/>
  <c r="M22" i="31"/>
  <c r="K22" i="31"/>
  <c r="K32" i="31"/>
  <c r="M32" i="31"/>
  <c r="L36" i="31"/>
  <c r="K36" i="31"/>
  <c r="M36" i="31"/>
  <c r="M21" i="32"/>
  <c r="K21" i="32"/>
  <c r="M32" i="32"/>
  <c r="K32" i="32"/>
  <c r="L37" i="32"/>
  <c r="K37" i="32"/>
  <c r="M37" i="32"/>
  <c r="K24" i="31"/>
  <c r="M24" i="31"/>
  <c r="K33" i="31"/>
  <c r="M33" i="31"/>
  <c r="M28" i="32"/>
  <c r="K28" i="32"/>
  <c r="K21" i="31"/>
  <c r="M21" i="31"/>
  <c r="K26" i="31"/>
  <c r="M26" i="31"/>
  <c r="K30" i="31"/>
  <c r="M30" i="31"/>
  <c r="K34" i="31"/>
  <c r="M34" i="31"/>
  <c r="M20" i="32"/>
  <c r="K20" i="32"/>
  <c r="L20" i="32"/>
  <c r="K25" i="32"/>
  <c r="M25" i="32"/>
  <c r="M30" i="32"/>
  <c r="K30" i="32"/>
  <c r="K36" i="32"/>
  <c r="L36" i="32"/>
  <c r="M36" i="32"/>
  <c r="J35" i="35"/>
  <c r="K35" i="35" s="1"/>
  <c r="AB29" i="32"/>
  <c r="AG20" i="31"/>
  <c r="W24" i="31"/>
  <c r="W28" i="31"/>
  <c r="AB38" i="32"/>
  <c r="AF20" i="31"/>
  <c r="I29" i="34"/>
  <c r="K29" i="34" s="1"/>
  <c r="J27" i="35"/>
  <c r="K27" i="35" s="1"/>
  <c r="E27" i="35"/>
  <c r="F27" i="35" s="1"/>
  <c r="J27" i="34"/>
  <c r="K27" i="34" s="1"/>
  <c r="E27" i="34"/>
  <c r="F27" i="34" s="1"/>
  <c r="J33" i="34"/>
  <c r="J25" i="34"/>
  <c r="E25" i="34"/>
  <c r="F25" i="34" s="1"/>
  <c r="U257" i="2"/>
  <c r="I257" i="2" s="1"/>
  <c r="U225" i="2"/>
  <c r="I225" i="2" s="1"/>
  <c r="V220" i="2"/>
  <c r="AF21" i="31"/>
  <c r="V36" i="31"/>
  <c r="V38" i="31"/>
  <c r="V25" i="31"/>
  <c r="V30" i="31"/>
  <c r="W37" i="31"/>
  <c r="V21" i="31"/>
  <c r="V29" i="31"/>
  <c r="AG37" i="31"/>
  <c r="AC22" i="31"/>
  <c r="S32" i="31"/>
  <c r="AE38" i="31"/>
  <c r="AE33" i="31"/>
  <c r="AE28" i="31"/>
  <c r="AE22" i="31"/>
  <c r="AE30" i="31"/>
  <c r="AE25" i="31"/>
  <c r="AE24" i="31"/>
  <c r="AE37" i="31"/>
  <c r="AE32" i="31"/>
  <c r="AE26" i="31"/>
  <c r="AE21" i="31"/>
  <c r="AE36" i="31"/>
  <c r="AE20" i="31"/>
  <c r="AE34" i="31"/>
  <c r="AE29" i="31"/>
  <c r="AB24" i="32"/>
  <c r="S26" i="31"/>
  <c r="U37" i="31"/>
  <c r="U32" i="31"/>
  <c r="U26" i="31"/>
  <c r="U21" i="31"/>
  <c r="U34" i="31"/>
  <c r="U29" i="31"/>
  <c r="U28" i="31"/>
  <c r="U22" i="31"/>
  <c r="U36" i="31"/>
  <c r="U30" i="31"/>
  <c r="U25" i="31"/>
  <c r="U20" i="31"/>
  <c r="U24" i="31"/>
  <c r="U38" i="31"/>
  <c r="U33" i="31"/>
  <c r="S38" i="31"/>
  <c r="S28" i="31"/>
  <c r="S33" i="31"/>
  <c r="S37" i="31"/>
  <c r="AE24" i="32"/>
  <c r="T26" i="32"/>
  <c r="AE20" i="32"/>
  <c r="AE30" i="32"/>
  <c r="T37" i="32"/>
  <c r="AE36" i="32"/>
  <c r="AE22" i="32"/>
  <c r="T33" i="32"/>
  <c r="AC22" i="32"/>
  <c r="AC30" i="32"/>
  <c r="AC36" i="32"/>
  <c r="Q25" i="33"/>
  <c r="T25" i="33" s="1"/>
  <c r="C25" i="33" s="1"/>
  <c r="W35" i="33"/>
  <c r="W31" i="33"/>
  <c r="W29" i="33"/>
  <c r="W27" i="33"/>
  <c r="W23" i="33"/>
  <c r="W33" i="33"/>
  <c r="W25" i="33"/>
  <c r="Q35" i="33"/>
  <c r="T35" i="33" s="1"/>
  <c r="Q31" i="33"/>
  <c r="T31" i="33" s="1"/>
  <c r="Q29" i="33"/>
  <c r="T29" i="33" s="1"/>
  <c r="Q27" i="33"/>
  <c r="T27" i="33" s="1"/>
  <c r="Q23" i="33"/>
  <c r="T23" i="33" s="1"/>
  <c r="Q33" i="33"/>
  <c r="T33" i="33" s="1"/>
  <c r="AB28" i="32"/>
  <c r="AD22" i="32"/>
  <c r="AD32" i="32"/>
  <c r="AD21" i="32"/>
  <c r="AD24" i="32"/>
  <c r="AD25" i="32"/>
  <c r="AD26" i="32"/>
  <c r="AD30" i="32"/>
  <c r="AD34" i="32"/>
  <c r="AD29" i="32"/>
  <c r="AE25" i="32"/>
  <c r="AE33" i="32"/>
  <c r="AE34" i="32"/>
  <c r="AE38" i="32"/>
  <c r="AE21" i="32"/>
  <c r="AE28" i="32"/>
  <c r="AE29" i="32"/>
  <c r="T38" i="32"/>
  <c r="AC37" i="32"/>
  <c r="T32" i="32"/>
  <c r="AC32" i="32"/>
  <c r="AC28" i="32"/>
  <c r="T28" i="32"/>
  <c r="AC26" i="32"/>
  <c r="T20" i="32"/>
  <c r="S37" i="32"/>
  <c r="S32" i="32"/>
  <c r="S26" i="32"/>
  <c r="S36" i="32"/>
  <c r="V21" i="32"/>
  <c r="S28" i="32"/>
  <c r="V34" i="32"/>
  <c r="T24" i="32"/>
  <c r="V38" i="32"/>
  <c r="V33" i="32"/>
  <c r="V28" i="32"/>
  <c r="V37" i="32"/>
  <c r="S24" i="32"/>
  <c r="S25" i="32"/>
  <c r="S29" i="32"/>
  <c r="S30" i="32"/>
  <c r="AB36" i="32"/>
  <c r="AB30" i="32"/>
  <c r="AB25" i="32"/>
  <c r="AB34" i="32"/>
  <c r="S21" i="32"/>
  <c r="V22" i="32"/>
  <c r="T29" i="32"/>
  <c r="S38" i="32"/>
  <c r="U38" i="32"/>
  <c r="U37" i="32"/>
  <c r="U36" i="32"/>
  <c r="U34" i="32"/>
  <c r="U33" i="32"/>
  <c r="U32" i="32"/>
  <c r="U30" i="32"/>
  <c r="U29" i="32"/>
  <c r="U28" i="32"/>
  <c r="U26" i="32"/>
  <c r="U25" i="32"/>
  <c r="U24" i="32"/>
  <c r="U22" i="32"/>
  <c r="U21" i="32"/>
  <c r="U20" i="32"/>
  <c r="AC34" i="32"/>
  <c r="AC29" i="32"/>
  <c r="AC24" i="32"/>
  <c r="AC33" i="32"/>
  <c r="AC38" i="32"/>
  <c r="AC20" i="32"/>
  <c r="T21" i="32"/>
  <c r="AB21" i="32"/>
  <c r="S22" i="32"/>
  <c r="V24" i="32"/>
  <c r="V26" i="32"/>
  <c r="V29" i="32"/>
  <c r="V30" i="32"/>
  <c r="V32" i="32"/>
  <c r="AB33" i="32"/>
  <c r="T34" i="32"/>
  <c r="AD38" i="32"/>
  <c r="AD33" i="32"/>
  <c r="AD28" i="32"/>
  <c r="AD37" i="32"/>
  <c r="V20" i="32"/>
  <c r="AD20" i="32"/>
  <c r="AC21" i="32"/>
  <c r="T22" i="32"/>
  <c r="AB22" i="32"/>
  <c r="AB26" i="32"/>
  <c r="AB32" i="32"/>
  <c r="S33" i="32"/>
  <c r="S34" i="32"/>
  <c r="V36" i="32"/>
  <c r="T25" i="32"/>
  <c r="AE26" i="32"/>
  <c r="T30" i="32"/>
  <c r="AE32" i="32"/>
  <c r="T30" i="31"/>
  <c r="T32" i="31"/>
  <c r="V20" i="31"/>
  <c r="V22" i="31"/>
  <c r="V24" i="31"/>
  <c r="T25" i="31"/>
  <c r="T26" i="31"/>
  <c r="AD38" i="31"/>
  <c r="AD33" i="31"/>
  <c r="AD28" i="31"/>
  <c r="AD37" i="31"/>
  <c r="AD32" i="31"/>
  <c r="AD26" i="31"/>
  <c r="AD22" i="31"/>
  <c r="AD21" i="31"/>
  <c r="AD20" i="31"/>
  <c r="AC34" i="31"/>
  <c r="AC29" i="31"/>
  <c r="AC24" i="31"/>
  <c r="AC38" i="31"/>
  <c r="AC33" i="31"/>
  <c r="AC28" i="31"/>
  <c r="AC37" i="31"/>
  <c r="AG22" i="31"/>
  <c r="AC25" i="31"/>
  <c r="AC26" i="31"/>
  <c r="AG28" i="31"/>
  <c r="AC30" i="31"/>
  <c r="AC32" i="31"/>
  <c r="AC36" i="31"/>
  <c r="T34" i="31"/>
  <c r="T29" i="31"/>
  <c r="T24" i="31"/>
  <c r="T22" i="31"/>
  <c r="T21" i="31"/>
  <c r="T20" i="31"/>
  <c r="T37" i="31"/>
  <c r="T38" i="31"/>
  <c r="T33" i="31"/>
  <c r="T28" i="31"/>
  <c r="AG36" i="31"/>
  <c r="AG30" i="31"/>
  <c r="AG25" i="31"/>
  <c r="AG34" i="31"/>
  <c r="AG29" i="31"/>
  <c r="AG24" i="31"/>
  <c r="AG38" i="31"/>
  <c r="AG21" i="31"/>
  <c r="AD24" i="31"/>
  <c r="AD25" i="31"/>
  <c r="AG26" i="31"/>
  <c r="AD29" i="31"/>
  <c r="AD30" i="31"/>
  <c r="AG32" i="31"/>
  <c r="AD34" i="31"/>
  <c r="AD36" i="31"/>
  <c r="W20" i="31"/>
  <c r="S21" i="31"/>
  <c r="W21" i="31"/>
  <c r="S22" i="31"/>
  <c r="W22" i="31"/>
  <c r="S24" i="31"/>
  <c r="W25" i="31"/>
  <c r="V26" i="31"/>
  <c r="S29" i="31"/>
  <c r="W30" i="31"/>
  <c r="V32" i="31"/>
  <c r="S34" i="31"/>
  <c r="W36" i="31"/>
  <c r="V37" i="31"/>
  <c r="AF38" i="31"/>
  <c r="AF37" i="31"/>
  <c r="AF36" i="31"/>
  <c r="AF34" i="31"/>
  <c r="AF33" i="31"/>
  <c r="AF32" i="31"/>
  <c r="AF30" i="31"/>
  <c r="AF29" i="31"/>
  <c r="AF28" i="31"/>
  <c r="AF26" i="31"/>
  <c r="AF25" i="31"/>
  <c r="AF24" i="31"/>
  <c r="S25" i="31"/>
  <c r="W26" i="31"/>
  <c r="V28" i="31"/>
  <c r="S30" i="31"/>
  <c r="W32" i="31"/>
  <c r="V33" i="31"/>
  <c r="V21" i="27"/>
  <c r="V33" i="27" s="1"/>
  <c r="Q21" i="27"/>
  <c r="Q35" i="27" s="1"/>
  <c r="W18" i="27"/>
  <c r="W31" i="27" s="1"/>
  <c r="R18" i="27"/>
  <c r="U27" i="4"/>
  <c r="AG17" i="26"/>
  <c r="AG34" i="26" s="1"/>
  <c r="AF17" i="26"/>
  <c r="AF36" i="26" s="1"/>
  <c r="AE17" i="26"/>
  <c r="AD17" i="26"/>
  <c r="W22" i="26"/>
  <c r="T17" i="26"/>
  <c r="L34" i="26"/>
  <c r="L33" i="26"/>
  <c r="L32" i="26"/>
  <c r="L30" i="26"/>
  <c r="L29" i="26"/>
  <c r="L28" i="26"/>
  <c r="L26" i="26"/>
  <c r="L25" i="26"/>
  <c r="L24" i="26"/>
  <c r="L22" i="26"/>
  <c r="L21" i="26"/>
  <c r="AC37" i="26"/>
  <c r="S22" i="26"/>
  <c r="V18" i="4"/>
  <c r="Q21" i="4"/>
  <c r="Q25" i="4" s="1"/>
  <c r="R18" i="4"/>
  <c r="R35" i="4" s="1"/>
  <c r="U21" i="4"/>
  <c r="U23" i="4"/>
  <c r="U25" i="4"/>
  <c r="U29" i="4"/>
  <c r="U31" i="4"/>
  <c r="U33" i="4"/>
  <c r="U35" i="4"/>
  <c r="AH17" i="25"/>
  <c r="AG17" i="25"/>
  <c r="AE17" i="25"/>
  <c r="AE20" i="25" s="1"/>
  <c r="U17" i="25"/>
  <c r="W34" i="32" l="1"/>
  <c r="AF32" i="32"/>
  <c r="AF33" i="32"/>
  <c r="AF30" i="32"/>
  <c r="H30" i="32" s="1"/>
  <c r="W28" i="32"/>
  <c r="AF29" i="32"/>
  <c r="W20" i="32"/>
  <c r="AF20" i="32"/>
  <c r="AF36" i="32"/>
  <c r="H36" i="32" s="1"/>
  <c r="W25" i="32"/>
  <c r="W32" i="32"/>
  <c r="W37" i="32"/>
  <c r="G37" i="32" s="1"/>
  <c r="AF22" i="32"/>
  <c r="W22" i="32"/>
  <c r="W38" i="32"/>
  <c r="AF34" i="32"/>
  <c r="W30" i="32"/>
  <c r="W36" i="32"/>
  <c r="AF28" i="32"/>
  <c r="H28" i="32" s="1"/>
  <c r="AF37" i="32"/>
  <c r="H37" i="32" s="1"/>
  <c r="AF24" i="32"/>
  <c r="H24" i="32" s="1"/>
  <c r="AF26" i="32"/>
  <c r="W21" i="32"/>
  <c r="W24" i="32"/>
  <c r="W33" i="32"/>
  <c r="G33" i="32" s="1"/>
  <c r="AF21" i="32"/>
  <c r="AF25" i="32"/>
  <c r="H25" i="32" s="1"/>
  <c r="W29" i="32"/>
  <c r="W26" i="32"/>
  <c r="AF38" i="32"/>
  <c r="H38" i="32" s="1"/>
  <c r="K257" i="2"/>
  <c r="E257" i="2"/>
  <c r="F257" i="2" s="1"/>
  <c r="J220" i="2"/>
  <c r="M30" i="26"/>
  <c r="K30" i="26"/>
  <c r="K21" i="26"/>
  <c r="M21" i="26"/>
  <c r="M32" i="26"/>
  <c r="K32" i="26"/>
  <c r="L20" i="26"/>
  <c r="M20" i="26"/>
  <c r="K20" i="26"/>
  <c r="M22" i="26"/>
  <c r="K22" i="26"/>
  <c r="K28" i="26"/>
  <c r="M28" i="26"/>
  <c r="K33" i="26"/>
  <c r="M33" i="26"/>
  <c r="M38" i="26"/>
  <c r="K38" i="26"/>
  <c r="L38" i="26"/>
  <c r="K25" i="26"/>
  <c r="M25" i="26"/>
  <c r="M36" i="26"/>
  <c r="L36" i="26"/>
  <c r="K36" i="26"/>
  <c r="K26" i="26"/>
  <c r="M26" i="26"/>
  <c r="M37" i="26"/>
  <c r="K37" i="26"/>
  <c r="L37" i="26"/>
  <c r="K24" i="26"/>
  <c r="M24" i="26"/>
  <c r="M29" i="26"/>
  <c r="K29" i="26"/>
  <c r="M34" i="26"/>
  <c r="K34" i="26"/>
  <c r="V35" i="4"/>
  <c r="W35" i="4" s="1"/>
  <c r="D35" i="4" s="1"/>
  <c r="V27" i="4"/>
  <c r="W27" i="4" s="1"/>
  <c r="D27" i="4" s="1"/>
  <c r="V33" i="4"/>
  <c r="W33" i="4" s="1"/>
  <c r="D33" i="4" s="1"/>
  <c r="V25" i="4"/>
  <c r="W25" i="4" s="1"/>
  <c r="D25" i="4" s="1"/>
  <c r="V31" i="4"/>
  <c r="W31" i="4" s="1"/>
  <c r="D31" i="4" s="1"/>
  <c r="V23" i="4"/>
  <c r="W23" i="4" s="1"/>
  <c r="D23" i="4" s="1"/>
  <c r="V29" i="4"/>
  <c r="W29" i="4" s="1"/>
  <c r="D29" i="4" s="1"/>
  <c r="V21" i="4"/>
  <c r="W21" i="4" s="1"/>
  <c r="D21" i="4" s="1"/>
  <c r="U226" i="2"/>
  <c r="I226" i="2" s="1"/>
  <c r="D21" i="33"/>
  <c r="I25" i="34"/>
  <c r="K25" i="34" s="1"/>
  <c r="I33" i="34"/>
  <c r="K33" i="34" s="1"/>
  <c r="V218" i="2"/>
  <c r="U210" i="2"/>
  <c r="I210" i="2" s="1"/>
  <c r="U218" i="2"/>
  <c r="I218" i="2" s="1"/>
  <c r="V226" i="2"/>
  <c r="V210" i="2"/>
  <c r="U219" i="2"/>
  <c r="I219" i="2" s="1"/>
  <c r="U217" i="2"/>
  <c r="I217" i="2" s="1"/>
  <c r="V222" i="2"/>
  <c r="V211" i="2"/>
  <c r="V262" i="2"/>
  <c r="U216" i="2"/>
  <c r="I216" i="2" s="1"/>
  <c r="V217" i="2"/>
  <c r="U220" i="2"/>
  <c r="I220" i="2" s="1"/>
  <c r="V224" i="2"/>
  <c r="V260" i="2"/>
  <c r="V219" i="2"/>
  <c r="U259" i="2"/>
  <c r="I259" i="2" s="1"/>
  <c r="U221" i="2"/>
  <c r="I221" i="2" s="1"/>
  <c r="V225" i="2"/>
  <c r="U222" i="2"/>
  <c r="I222" i="2" s="1"/>
  <c r="V221" i="2"/>
  <c r="U262" i="2"/>
  <c r="I262" i="2" s="1"/>
  <c r="V259" i="2"/>
  <c r="V223" i="2"/>
  <c r="V216" i="2"/>
  <c r="U211" i="2"/>
  <c r="I211" i="2" s="1"/>
  <c r="U224" i="2"/>
  <c r="I224" i="2" s="1"/>
  <c r="U260" i="2"/>
  <c r="I260" i="2" s="1"/>
  <c r="U223" i="2"/>
  <c r="I223" i="2" s="1"/>
  <c r="X36" i="31"/>
  <c r="X38" i="31"/>
  <c r="G38" i="31" s="1"/>
  <c r="AH20" i="31"/>
  <c r="H20" i="31" s="1"/>
  <c r="U38" i="26"/>
  <c r="U22" i="26"/>
  <c r="U28" i="26"/>
  <c r="U33" i="26"/>
  <c r="U20" i="26"/>
  <c r="U36" i="26"/>
  <c r="U21" i="26"/>
  <c r="U32" i="26"/>
  <c r="U24" i="26"/>
  <c r="U29" i="26"/>
  <c r="U34" i="26"/>
  <c r="U25" i="26"/>
  <c r="U30" i="26"/>
  <c r="U26" i="26"/>
  <c r="V29" i="27"/>
  <c r="AH37" i="31"/>
  <c r="H37" i="31" s="1"/>
  <c r="AH21" i="31"/>
  <c r="H21" i="31" s="1"/>
  <c r="AD36" i="26"/>
  <c r="AA27" i="33"/>
  <c r="D27" i="33" s="1"/>
  <c r="AA29" i="33"/>
  <c r="D29" i="33" s="1"/>
  <c r="AA31" i="33"/>
  <c r="D31" i="33" s="1"/>
  <c r="AA33" i="33"/>
  <c r="AA23" i="33"/>
  <c r="D23" i="33" s="1"/>
  <c r="AA25" i="33"/>
  <c r="AA35" i="33"/>
  <c r="D35" i="33" s="1"/>
  <c r="C27" i="33"/>
  <c r="C29" i="33"/>
  <c r="C21" i="33"/>
  <c r="C23" i="33"/>
  <c r="AH38" i="31"/>
  <c r="AH22" i="31"/>
  <c r="H22" i="31" s="1"/>
  <c r="X34" i="31"/>
  <c r="G34" i="31" s="1"/>
  <c r="X22" i="31"/>
  <c r="X33" i="31"/>
  <c r="X29" i="31"/>
  <c r="G29" i="31" s="1"/>
  <c r="X20" i="31"/>
  <c r="G20" i="31" s="1"/>
  <c r="X26" i="31"/>
  <c r="G26" i="31" s="1"/>
  <c r="X32" i="31"/>
  <c r="G32" i="31" s="1"/>
  <c r="X24" i="31"/>
  <c r="G24" i="31" s="1"/>
  <c r="AH36" i="31"/>
  <c r="AH24" i="31"/>
  <c r="X30" i="31"/>
  <c r="X21" i="31"/>
  <c r="X37" i="31"/>
  <c r="AH32" i="31"/>
  <c r="AH26" i="31"/>
  <c r="AH28" i="31"/>
  <c r="AH29" i="31"/>
  <c r="X25" i="31"/>
  <c r="X28" i="31"/>
  <c r="AH30" i="31"/>
  <c r="AH25" i="31"/>
  <c r="AH33" i="31"/>
  <c r="AH34" i="31"/>
  <c r="W21" i="26"/>
  <c r="AC24" i="26"/>
  <c r="V31" i="27"/>
  <c r="X31" i="27" s="1"/>
  <c r="R27" i="4"/>
  <c r="V25" i="27"/>
  <c r="V35" i="27"/>
  <c r="U37" i="26"/>
  <c r="V23" i="27"/>
  <c r="AF37" i="26"/>
  <c r="R33" i="4"/>
  <c r="V27" i="27"/>
  <c r="AF21" i="26"/>
  <c r="AF22" i="26"/>
  <c r="W27" i="27"/>
  <c r="AF20" i="26"/>
  <c r="AF30" i="26"/>
  <c r="W33" i="27"/>
  <c r="X33" i="27" s="1"/>
  <c r="AF25" i="26"/>
  <c r="Q27" i="4"/>
  <c r="Q29" i="27"/>
  <c r="W21" i="27"/>
  <c r="W35" i="27"/>
  <c r="R33" i="27"/>
  <c r="R31" i="27"/>
  <c r="R25" i="27"/>
  <c r="R21" i="27"/>
  <c r="S21" i="27" s="1"/>
  <c r="AC36" i="26"/>
  <c r="AC38" i="26"/>
  <c r="W20" i="26"/>
  <c r="W30" i="26"/>
  <c r="R23" i="27"/>
  <c r="AC33" i="26"/>
  <c r="AC34" i="26"/>
  <c r="R27" i="27"/>
  <c r="R35" i="27"/>
  <c r="S35" i="27" s="1"/>
  <c r="C35" i="27" s="1"/>
  <c r="AC30" i="26"/>
  <c r="R31" i="4"/>
  <c r="R23" i="4"/>
  <c r="R29" i="4"/>
  <c r="R21" i="4"/>
  <c r="S21" i="4" s="1"/>
  <c r="C21" i="4" s="1"/>
  <c r="AC25" i="26"/>
  <c r="AC28" i="26"/>
  <c r="AC29" i="26"/>
  <c r="R29" i="27"/>
  <c r="R25" i="4"/>
  <c r="S25" i="4" s="1"/>
  <c r="C25" i="4" s="1"/>
  <c r="AD20" i="26"/>
  <c r="AD29" i="26"/>
  <c r="AD37" i="26"/>
  <c r="W23" i="27"/>
  <c r="W29" i="27"/>
  <c r="AD26" i="26"/>
  <c r="W25" i="27"/>
  <c r="Q33" i="27"/>
  <c r="Q27" i="27"/>
  <c r="Q25" i="27"/>
  <c r="Q31" i="27"/>
  <c r="Q23" i="27"/>
  <c r="AG29" i="26"/>
  <c r="W37" i="26"/>
  <c r="AG36" i="26"/>
  <c r="AD21" i="26"/>
  <c r="AG24" i="26"/>
  <c r="W25" i="26"/>
  <c r="W36" i="26"/>
  <c r="AD32" i="26"/>
  <c r="AD34" i="26"/>
  <c r="AD24" i="26"/>
  <c r="S36" i="26"/>
  <c r="S30" i="26"/>
  <c r="S25" i="26"/>
  <c r="S38" i="26"/>
  <c r="S33" i="26"/>
  <c r="S28" i="26"/>
  <c r="S37" i="26"/>
  <c r="S32" i="26"/>
  <c r="S26" i="26"/>
  <c r="S24" i="26"/>
  <c r="V38" i="26"/>
  <c r="V33" i="26"/>
  <c r="V28" i="26"/>
  <c r="V37" i="26"/>
  <c r="V36" i="26"/>
  <c r="V30" i="26"/>
  <c r="V25" i="26"/>
  <c r="V22" i="26"/>
  <c r="V21" i="26"/>
  <c r="V20" i="26"/>
  <c r="V34" i="26"/>
  <c r="V29" i="26"/>
  <c r="V24" i="26"/>
  <c r="AE38" i="26"/>
  <c r="AE37" i="26"/>
  <c r="AE36" i="26"/>
  <c r="AE34" i="26"/>
  <c r="AE33" i="26"/>
  <c r="AE32" i="26"/>
  <c r="AE30" i="26"/>
  <c r="AE29" i="26"/>
  <c r="AE28" i="26"/>
  <c r="AE26" i="26"/>
  <c r="AE25" i="26"/>
  <c r="AE24" i="26"/>
  <c r="AE22" i="26"/>
  <c r="AE21" i="26"/>
  <c r="AE20" i="26"/>
  <c r="V26" i="26"/>
  <c r="S29" i="26"/>
  <c r="S21" i="26"/>
  <c r="AD22" i="26"/>
  <c r="V32" i="26"/>
  <c r="S34" i="26"/>
  <c r="T38" i="26"/>
  <c r="T37" i="26"/>
  <c r="T36" i="26"/>
  <c r="T34" i="26"/>
  <c r="T33" i="26"/>
  <c r="T32" i="26"/>
  <c r="T30" i="26"/>
  <c r="T29" i="26"/>
  <c r="T28" i="26"/>
  <c r="T26" i="26"/>
  <c r="T25" i="26"/>
  <c r="T24" i="26"/>
  <c r="AG26" i="26"/>
  <c r="W28" i="26"/>
  <c r="AF28" i="26"/>
  <c r="AG32" i="26"/>
  <c r="W33" i="26"/>
  <c r="AF33" i="26"/>
  <c r="AG37" i="26"/>
  <c r="W38" i="26"/>
  <c r="AF38" i="26"/>
  <c r="AG20" i="26"/>
  <c r="AC21" i="26"/>
  <c r="AG21" i="26"/>
  <c r="AC22" i="26"/>
  <c r="AG22" i="26"/>
  <c r="W24" i="26"/>
  <c r="AF24" i="26"/>
  <c r="AD25" i="26"/>
  <c r="AC26" i="26"/>
  <c r="AG28" i="26"/>
  <c r="W29" i="26"/>
  <c r="AF29" i="26"/>
  <c r="AD30" i="26"/>
  <c r="AC32" i="26"/>
  <c r="AG33" i="26"/>
  <c r="W34" i="26"/>
  <c r="AF34" i="26"/>
  <c r="AG38" i="26"/>
  <c r="T20" i="26"/>
  <c r="T21" i="26"/>
  <c r="T22" i="26"/>
  <c r="AG25" i="26"/>
  <c r="W26" i="26"/>
  <c r="AF26" i="26"/>
  <c r="AD28" i="26"/>
  <c r="AG30" i="26"/>
  <c r="W32" i="26"/>
  <c r="AF32" i="26"/>
  <c r="AD33" i="26"/>
  <c r="AD38" i="26"/>
  <c r="Q35" i="4"/>
  <c r="Q33" i="4"/>
  <c r="Q31" i="4"/>
  <c r="Q29" i="4"/>
  <c r="Q23" i="4"/>
  <c r="E21" i="33" l="1"/>
  <c r="AI20" i="32"/>
  <c r="AK20" i="32"/>
  <c r="J219" i="2"/>
  <c r="K219" i="2" s="1"/>
  <c r="E219" i="2"/>
  <c r="F219" i="2" s="1"/>
  <c r="J262" i="2"/>
  <c r="K262" i="2" s="1"/>
  <c r="E262" i="2"/>
  <c r="F262" i="2" s="1"/>
  <c r="E221" i="2"/>
  <c r="F221" i="2" s="1"/>
  <c r="J221" i="2"/>
  <c r="K221" i="2" s="1"/>
  <c r="E220" i="2"/>
  <c r="F220" i="2" s="1"/>
  <c r="E225" i="2"/>
  <c r="F225" i="2" s="1"/>
  <c r="J225" i="2"/>
  <c r="K225" i="2" s="1"/>
  <c r="J211" i="2"/>
  <c r="K211" i="2" s="1"/>
  <c r="E211" i="2"/>
  <c r="F211" i="2" s="1"/>
  <c r="E226" i="2"/>
  <c r="F226" i="2" s="1"/>
  <c r="J226" i="2"/>
  <c r="K226" i="2" s="1"/>
  <c r="K220" i="2"/>
  <c r="E223" i="2"/>
  <c r="F223" i="2" s="1"/>
  <c r="J223" i="2"/>
  <c r="K223" i="2" s="1"/>
  <c r="E218" i="2"/>
  <c r="F218" i="2" s="1"/>
  <c r="J218" i="2"/>
  <c r="K218" i="2" s="1"/>
  <c r="E259" i="2"/>
  <c r="F259" i="2" s="1"/>
  <c r="J259" i="2"/>
  <c r="K259" i="2" s="1"/>
  <c r="E260" i="2"/>
  <c r="F260" i="2" s="1"/>
  <c r="J260" i="2"/>
  <c r="K260" i="2" s="1"/>
  <c r="J216" i="2"/>
  <c r="K216" i="2" s="1"/>
  <c r="E216" i="2"/>
  <c r="F216" i="2" s="1"/>
  <c r="J224" i="2"/>
  <c r="K224" i="2" s="1"/>
  <c r="E224" i="2"/>
  <c r="F224" i="2" s="1"/>
  <c r="E217" i="2"/>
  <c r="F217" i="2" s="1"/>
  <c r="J217" i="2"/>
  <c r="K217" i="2" s="1"/>
  <c r="J222" i="2"/>
  <c r="K222" i="2" s="1"/>
  <c r="E222" i="2"/>
  <c r="F222" i="2" s="1"/>
  <c r="J210" i="2"/>
  <c r="K210" i="2" s="1"/>
  <c r="E210" i="2"/>
  <c r="F210" i="2" s="1"/>
  <c r="AF21" i="33"/>
  <c r="AK38" i="31"/>
  <c r="AH21" i="33"/>
  <c r="G36" i="31"/>
  <c r="N36" i="31" s="1"/>
  <c r="AF23" i="33"/>
  <c r="AM20" i="31"/>
  <c r="N34" i="31"/>
  <c r="N24" i="31"/>
  <c r="AI36" i="32"/>
  <c r="X29" i="27"/>
  <c r="D29" i="27" s="1"/>
  <c r="AI28" i="32"/>
  <c r="AK24" i="32"/>
  <c r="AM37" i="31"/>
  <c r="AK20" i="31"/>
  <c r="AH29" i="33"/>
  <c r="AF27" i="33"/>
  <c r="AI25" i="32"/>
  <c r="AK22" i="31"/>
  <c r="AM38" i="31"/>
  <c r="N29" i="31"/>
  <c r="AK21" i="31"/>
  <c r="N32" i="31"/>
  <c r="H38" i="31"/>
  <c r="O38" i="31" s="1"/>
  <c r="AM22" i="31"/>
  <c r="O20" i="31"/>
  <c r="O22" i="31"/>
  <c r="N26" i="31"/>
  <c r="G22" i="31"/>
  <c r="AF29" i="33"/>
  <c r="AH23" i="33"/>
  <c r="AH27" i="33"/>
  <c r="K29" i="33"/>
  <c r="O37" i="32"/>
  <c r="K27" i="33"/>
  <c r="K21" i="33"/>
  <c r="K23" i="33"/>
  <c r="AH31" i="33"/>
  <c r="AH35" i="33"/>
  <c r="C31" i="33"/>
  <c r="AF31" i="33"/>
  <c r="C35" i="33"/>
  <c r="AF35" i="33"/>
  <c r="D33" i="33"/>
  <c r="J23" i="33"/>
  <c r="F21" i="33"/>
  <c r="E29" i="33"/>
  <c r="F29" i="33" s="1"/>
  <c r="AH25" i="33"/>
  <c r="D25" i="33"/>
  <c r="K25" i="33" s="1"/>
  <c r="AF25" i="33"/>
  <c r="E27" i="33"/>
  <c r="F27" i="33" s="1"/>
  <c r="J21" i="33"/>
  <c r="E23" i="33"/>
  <c r="F23" i="33" s="1"/>
  <c r="C33" i="33"/>
  <c r="J29" i="33"/>
  <c r="J25" i="33"/>
  <c r="G29" i="32"/>
  <c r="H20" i="32"/>
  <c r="G26" i="32"/>
  <c r="H29" i="32"/>
  <c r="AK37" i="32"/>
  <c r="AK25" i="32"/>
  <c r="G20" i="32"/>
  <c r="AK29" i="32"/>
  <c r="AI37" i="32"/>
  <c r="AI29" i="32"/>
  <c r="G30" i="32"/>
  <c r="G34" i="32"/>
  <c r="I37" i="32"/>
  <c r="J37" i="32" s="1"/>
  <c r="AI34" i="32"/>
  <c r="H34" i="32"/>
  <c r="AK34" i="32"/>
  <c r="G32" i="32"/>
  <c r="G38" i="32"/>
  <c r="G21" i="32"/>
  <c r="AI26" i="32"/>
  <c r="H26" i="32"/>
  <c r="AK26" i="32"/>
  <c r="AI38" i="32"/>
  <c r="N33" i="32"/>
  <c r="AI24" i="32"/>
  <c r="G36" i="32"/>
  <c r="AI33" i="32"/>
  <c r="H33" i="32"/>
  <c r="O33" i="32" s="1"/>
  <c r="AK33" i="32"/>
  <c r="G25" i="32"/>
  <c r="AI30" i="32"/>
  <c r="N37" i="32"/>
  <c r="AK36" i="32"/>
  <c r="AI21" i="32"/>
  <c r="H21" i="32"/>
  <c r="AK21" i="32"/>
  <c r="G24" i="32"/>
  <c r="O24" i="32" s="1"/>
  <c r="G22" i="32"/>
  <c r="G28" i="32"/>
  <c r="O28" i="32" s="1"/>
  <c r="AI22" i="32"/>
  <c r="AK22" i="32"/>
  <c r="H22" i="32"/>
  <c r="AK30" i="32"/>
  <c r="AI32" i="32"/>
  <c r="H32" i="32"/>
  <c r="O32" i="32" s="1"/>
  <c r="AK32" i="32"/>
  <c r="AK38" i="32"/>
  <c r="AK28" i="32"/>
  <c r="G33" i="31"/>
  <c r="N33" i="31" s="1"/>
  <c r="AK37" i="31"/>
  <c r="AK30" i="31"/>
  <c r="H30" i="31"/>
  <c r="AM30" i="31"/>
  <c r="AK32" i="31"/>
  <c r="H32" i="31"/>
  <c r="O32" i="31" s="1"/>
  <c r="AM32" i="31"/>
  <c r="AK29" i="31"/>
  <c r="H29" i="31"/>
  <c r="AM29" i="31"/>
  <c r="G30" i="31"/>
  <c r="AK33" i="31"/>
  <c r="H33" i="31"/>
  <c r="O33" i="31" s="1"/>
  <c r="AM33" i="31"/>
  <c r="G25" i="31"/>
  <c r="AK28" i="31"/>
  <c r="H28" i="31"/>
  <c r="AM28" i="31"/>
  <c r="G21" i="31"/>
  <c r="I21" i="31" s="1"/>
  <c r="J21" i="31" s="1"/>
  <c r="O21" i="31"/>
  <c r="AK24" i="31"/>
  <c r="H24" i="31"/>
  <c r="AM24" i="31"/>
  <c r="AK34" i="31"/>
  <c r="H34" i="31"/>
  <c r="AM34" i="31"/>
  <c r="G28" i="31"/>
  <c r="G37" i="31"/>
  <c r="O37" i="31"/>
  <c r="AK36" i="31"/>
  <c r="H36" i="31"/>
  <c r="O36" i="31" s="1"/>
  <c r="AM36" i="31"/>
  <c r="AK25" i="31"/>
  <c r="H25" i="31"/>
  <c r="AM25" i="31"/>
  <c r="N38" i="31"/>
  <c r="AM21" i="31"/>
  <c r="AK26" i="31"/>
  <c r="H26" i="31"/>
  <c r="AM26" i="31"/>
  <c r="I20" i="31"/>
  <c r="J20" i="31" s="1"/>
  <c r="N20" i="31"/>
  <c r="S23" i="4"/>
  <c r="Z23" i="4" s="1"/>
  <c r="X20" i="26"/>
  <c r="G20" i="26" s="1"/>
  <c r="X23" i="27"/>
  <c r="D23" i="27" s="1"/>
  <c r="S33" i="4"/>
  <c r="C33" i="4" s="1"/>
  <c r="E33" i="4" s="1"/>
  <c r="F33" i="4" s="1"/>
  <c r="X25" i="27"/>
  <c r="D25" i="27" s="1"/>
  <c r="X35" i="27"/>
  <c r="D35" i="27" s="1"/>
  <c r="S33" i="27"/>
  <c r="C33" i="27" s="1"/>
  <c r="X27" i="27"/>
  <c r="D27" i="27" s="1"/>
  <c r="S27" i="4"/>
  <c r="C27" i="4" s="1"/>
  <c r="J27" i="4" s="1"/>
  <c r="S29" i="27"/>
  <c r="J35" i="27"/>
  <c r="X29" i="26"/>
  <c r="AH24" i="26"/>
  <c r="H24" i="26" s="1"/>
  <c r="AH29" i="26"/>
  <c r="AH20" i="26"/>
  <c r="AH36" i="26"/>
  <c r="D31" i="27"/>
  <c r="S23" i="27"/>
  <c r="C23" i="27" s="1"/>
  <c r="S31" i="27"/>
  <c r="C31" i="27" s="1"/>
  <c r="D33" i="27"/>
  <c r="S27" i="27"/>
  <c r="C27" i="27" s="1"/>
  <c r="C21" i="27"/>
  <c r="S25" i="27"/>
  <c r="AB25" i="4"/>
  <c r="J21" i="4"/>
  <c r="E25" i="4"/>
  <c r="F25" i="4" s="1"/>
  <c r="J25" i="4"/>
  <c r="M25" i="4" s="1"/>
  <c r="E21" i="4"/>
  <c r="F21" i="4" s="1"/>
  <c r="AH33" i="26"/>
  <c r="X22" i="26"/>
  <c r="G22" i="26" s="1"/>
  <c r="AH25" i="26"/>
  <c r="AH21" i="26"/>
  <c r="AH37" i="26"/>
  <c r="AH38" i="26"/>
  <c r="AH30" i="26"/>
  <c r="AH28" i="26"/>
  <c r="AH34" i="26"/>
  <c r="X21" i="26"/>
  <c r="AH32" i="26"/>
  <c r="X37" i="26"/>
  <c r="AH26" i="26"/>
  <c r="AH22" i="26"/>
  <c r="X28" i="26"/>
  <c r="X25" i="26"/>
  <c r="X34" i="26"/>
  <c r="X24" i="26"/>
  <c r="X26" i="26"/>
  <c r="X33" i="26"/>
  <c r="X30" i="26"/>
  <c r="X32" i="26"/>
  <c r="X38" i="26"/>
  <c r="X36" i="26"/>
  <c r="S29" i="4"/>
  <c r="Z29" i="4" s="1"/>
  <c r="Z21" i="4"/>
  <c r="AB21" i="4"/>
  <c r="S31" i="4"/>
  <c r="C31" i="4" s="1"/>
  <c r="J31" i="4" s="1"/>
  <c r="S35" i="4"/>
  <c r="Z25" i="4"/>
  <c r="L25" i="33" l="1"/>
  <c r="L29" i="33"/>
  <c r="L23" i="33"/>
  <c r="L21" i="33"/>
  <c r="AB23" i="4"/>
  <c r="I38" i="31"/>
  <c r="J38" i="31" s="1"/>
  <c r="AE29" i="27"/>
  <c r="O21" i="32"/>
  <c r="O34" i="31"/>
  <c r="P34" i="31" s="1"/>
  <c r="E31" i="33"/>
  <c r="F31" i="33" s="1"/>
  <c r="K31" i="33"/>
  <c r="K35" i="33"/>
  <c r="J27" i="33"/>
  <c r="L27" i="33" s="1"/>
  <c r="K31" i="4"/>
  <c r="L31" i="4" s="1"/>
  <c r="C23" i="4"/>
  <c r="E23" i="4" s="1"/>
  <c r="F23" i="4" s="1"/>
  <c r="G29" i="26"/>
  <c r="N29" i="26" s="1"/>
  <c r="O24" i="31"/>
  <c r="P24" i="31" s="1"/>
  <c r="K25" i="27"/>
  <c r="N22" i="31"/>
  <c r="P22" i="31" s="1"/>
  <c r="P38" i="31"/>
  <c r="O29" i="31"/>
  <c r="P29" i="31" s="1"/>
  <c r="O26" i="31"/>
  <c r="P26" i="31" s="1"/>
  <c r="I22" i="31"/>
  <c r="J22" i="31" s="1"/>
  <c r="O25" i="31"/>
  <c r="O30" i="31"/>
  <c r="O28" i="31"/>
  <c r="K35" i="27"/>
  <c r="L35" i="27" s="1"/>
  <c r="I25" i="32"/>
  <c r="J25" i="32" s="1"/>
  <c r="O25" i="32"/>
  <c r="I36" i="32"/>
  <c r="J36" i="32" s="1"/>
  <c r="O36" i="32"/>
  <c r="I38" i="32"/>
  <c r="J38" i="32" s="1"/>
  <c r="O38" i="32"/>
  <c r="I20" i="32"/>
  <c r="J20" i="32" s="1"/>
  <c r="O20" i="32"/>
  <c r="O22" i="32"/>
  <c r="O26" i="32"/>
  <c r="O34" i="32"/>
  <c r="I30" i="32"/>
  <c r="J30" i="32" s="1"/>
  <c r="O30" i="32"/>
  <c r="O29" i="32"/>
  <c r="K33" i="33"/>
  <c r="K25" i="4"/>
  <c r="K21" i="4"/>
  <c r="L21" i="4" s="1"/>
  <c r="K27" i="4"/>
  <c r="L27" i="4" s="1"/>
  <c r="E35" i="33"/>
  <c r="F35" i="33" s="1"/>
  <c r="J33" i="33"/>
  <c r="E25" i="33"/>
  <c r="F25" i="33" s="1"/>
  <c r="E33" i="33"/>
  <c r="F33" i="33" s="1"/>
  <c r="I29" i="32"/>
  <c r="J29" i="32" s="1"/>
  <c r="P37" i="32"/>
  <c r="N28" i="32"/>
  <c r="P28" i="32" s="1"/>
  <c r="N24" i="32"/>
  <c r="P24" i="32" s="1"/>
  <c r="P33" i="32"/>
  <c r="I33" i="32"/>
  <c r="J33" i="32" s="1"/>
  <c r="N34" i="32"/>
  <c r="I24" i="32"/>
  <c r="J24" i="32" s="1"/>
  <c r="N22" i="32"/>
  <c r="I26" i="32"/>
  <c r="J26" i="32" s="1"/>
  <c r="N32" i="32"/>
  <c r="I34" i="32"/>
  <c r="J34" i="32" s="1"/>
  <c r="I28" i="32"/>
  <c r="J28" i="32" s="1"/>
  <c r="I21" i="32"/>
  <c r="J21" i="32" s="1"/>
  <c r="I22" i="32"/>
  <c r="J22" i="32" s="1"/>
  <c r="N21" i="32"/>
  <c r="I32" i="32"/>
  <c r="J32" i="32" s="1"/>
  <c r="I26" i="31"/>
  <c r="J26" i="31" s="1"/>
  <c r="I25" i="31"/>
  <c r="J25" i="31" s="1"/>
  <c r="N37" i="31"/>
  <c r="P37" i="31" s="1"/>
  <c r="I28" i="31"/>
  <c r="J28" i="31" s="1"/>
  <c r="P36" i="31"/>
  <c r="I36" i="31"/>
  <c r="J36" i="31" s="1"/>
  <c r="N21" i="31"/>
  <c r="P21" i="31" s="1"/>
  <c r="N30" i="31"/>
  <c r="I29" i="31"/>
  <c r="J29" i="31" s="1"/>
  <c r="P32" i="31"/>
  <c r="I32" i="31"/>
  <c r="J32" i="31" s="1"/>
  <c r="I30" i="31"/>
  <c r="J30" i="31" s="1"/>
  <c r="I34" i="31"/>
  <c r="J34" i="31" s="1"/>
  <c r="N28" i="31"/>
  <c r="P20" i="31"/>
  <c r="I37" i="31"/>
  <c r="J37" i="31" s="1"/>
  <c r="I24" i="31"/>
  <c r="J24" i="31" s="1"/>
  <c r="N25" i="31"/>
  <c r="P33" i="31"/>
  <c r="I33" i="31"/>
  <c r="J33" i="31" s="1"/>
  <c r="AB33" i="4"/>
  <c r="N20" i="26"/>
  <c r="AM20" i="26"/>
  <c r="Z33" i="4"/>
  <c r="H29" i="26"/>
  <c r="H25" i="26"/>
  <c r="K29" i="27"/>
  <c r="C29" i="27"/>
  <c r="AE33" i="27"/>
  <c r="E27" i="4"/>
  <c r="F27" i="4" s="1"/>
  <c r="AE31" i="27"/>
  <c r="Z27" i="4"/>
  <c r="J33" i="27"/>
  <c r="AB27" i="4"/>
  <c r="H37" i="26"/>
  <c r="E27" i="27"/>
  <c r="F27" i="27" s="1"/>
  <c r="AC29" i="27"/>
  <c r="N22" i="26"/>
  <c r="H34" i="26"/>
  <c r="AC33" i="27"/>
  <c r="H21" i="26"/>
  <c r="AM21" i="26"/>
  <c r="AK38" i="26"/>
  <c r="H20" i="26"/>
  <c r="AK29" i="26"/>
  <c r="H36" i="26"/>
  <c r="H30" i="26"/>
  <c r="AM29" i="26"/>
  <c r="AK20" i="26"/>
  <c r="J27" i="27"/>
  <c r="AK36" i="26"/>
  <c r="AK24" i="26"/>
  <c r="AK30" i="26"/>
  <c r="AC31" i="27"/>
  <c r="J23" i="27"/>
  <c r="J31" i="27"/>
  <c r="E35" i="27"/>
  <c r="F35" i="27" s="1"/>
  <c r="E23" i="27"/>
  <c r="F23" i="27" s="1"/>
  <c r="AE23" i="27"/>
  <c r="AC23" i="27"/>
  <c r="E31" i="27"/>
  <c r="F31" i="27" s="1"/>
  <c r="E33" i="27"/>
  <c r="F33" i="27" s="1"/>
  <c r="J21" i="27"/>
  <c r="AC27" i="27"/>
  <c r="AE27" i="27"/>
  <c r="C25" i="27"/>
  <c r="AE25" i="27"/>
  <c r="AC25" i="27"/>
  <c r="E31" i="4"/>
  <c r="F31" i="4" s="1"/>
  <c r="AB35" i="4"/>
  <c r="C35" i="4"/>
  <c r="AB29" i="4"/>
  <c r="C29" i="4"/>
  <c r="AM34" i="26"/>
  <c r="H33" i="26"/>
  <c r="AM28" i="26"/>
  <c r="H28" i="26"/>
  <c r="AK21" i="26"/>
  <c r="G21" i="26"/>
  <c r="AM30" i="26"/>
  <c r="H38" i="26"/>
  <c r="AK34" i="26"/>
  <c r="G32" i="26"/>
  <c r="G33" i="26"/>
  <c r="G25" i="26"/>
  <c r="G37" i="26"/>
  <c r="AM25" i="26"/>
  <c r="AM33" i="26"/>
  <c r="G26" i="26"/>
  <c r="G28" i="26"/>
  <c r="AK37" i="26"/>
  <c r="AM32" i="26"/>
  <c r="H32" i="26"/>
  <c r="AK32" i="26"/>
  <c r="AK25" i="26"/>
  <c r="G36" i="26"/>
  <c r="G24" i="26"/>
  <c r="O24" i="26"/>
  <c r="AK22" i="26"/>
  <c r="AM22" i="26"/>
  <c r="H22" i="26"/>
  <c r="AM37" i="26"/>
  <c r="AM36" i="26"/>
  <c r="AK28" i="26"/>
  <c r="AK33" i="26"/>
  <c r="AM24" i="26"/>
  <c r="G38" i="26"/>
  <c r="G30" i="26"/>
  <c r="G34" i="26"/>
  <c r="AM26" i="26"/>
  <c r="H26" i="26"/>
  <c r="AK26" i="26"/>
  <c r="AM38" i="26"/>
  <c r="Z35" i="4"/>
  <c r="AB31" i="4"/>
  <c r="Z31" i="4"/>
  <c r="L25" i="4" l="1"/>
  <c r="N25" i="4"/>
  <c r="L33" i="33"/>
  <c r="N25" i="32"/>
  <c r="P25" i="32" s="1"/>
  <c r="P34" i="32"/>
  <c r="J31" i="33"/>
  <c r="L31" i="33" s="1"/>
  <c r="J35" i="33"/>
  <c r="L35" i="33" s="1"/>
  <c r="N26" i="32"/>
  <c r="P26" i="32" s="1"/>
  <c r="N38" i="32"/>
  <c r="P38" i="32" s="1"/>
  <c r="K27" i="27"/>
  <c r="L27" i="27" s="1"/>
  <c r="O22" i="26"/>
  <c r="P22" i="26" s="1"/>
  <c r="P28" i="31"/>
  <c r="O34" i="26"/>
  <c r="O26" i="26"/>
  <c r="O36" i="26"/>
  <c r="O38" i="26"/>
  <c r="O33" i="26"/>
  <c r="O28" i="26"/>
  <c r="I20" i="26"/>
  <c r="J20" i="26" s="1"/>
  <c r="O20" i="26"/>
  <c r="P20" i="26" s="1"/>
  <c r="O32" i="26"/>
  <c r="O30" i="26"/>
  <c r="O21" i="26"/>
  <c r="O37" i="26"/>
  <c r="O25" i="26"/>
  <c r="I29" i="26"/>
  <c r="J29" i="26" s="1"/>
  <c r="O29" i="26"/>
  <c r="P29" i="26" s="1"/>
  <c r="K23" i="27"/>
  <c r="L23" i="27" s="1"/>
  <c r="K33" i="27"/>
  <c r="L33" i="27" s="1"/>
  <c r="K31" i="27"/>
  <c r="L31" i="27" s="1"/>
  <c r="N20" i="32"/>
  <c r="P20" i="32" s="1"/>
  <c r="N36" i="32"/>
  <c r="P36" i="32" s="1"/>
  <c r="N30" i="32"/>
  <c r="P30" i="32" s="1"/>
  <c r="N29" i="32"/>
  <c r="P29" i="32" s="1"/>
  <c r="J23" i="4"/>
  <c r="K23" i="4"/>
  <c r="J33" i="4"/>
  <c r="K33" i="4"/>
  <c r="P32" i="32"/>
  <c r="P22" i="32"/>
  <c r="P21" i="32"/>
  <c r="P30" i="31"/>
  <c r="P25" i="31"/>
  <c r="J29" i="27"/>
  <c r="L29" i="27" s="1"/>
  <c r="I37" i="26"/>
  <c r="J37" i="26" s="1"/>
  <c r="I25" i="26"/>
  <c r="J25" i="26" s="1"/>
  <c r="E29" i="27"/>
  <c r="F29" i="27" s="1"/>
  <c r="I21" i="26"/>
  <c r="J21" i="26" s="1"/>
  <c r="I28" i="26"/>
  <c r="J28" i="26" s="1"/>
  <c r="I34" i="26"/>
  <c r="J34" i="26" s="1"/>
  <c r="N21" i="26"/>
  <c r="N30" i="26"/>
  <c r="N38" i="26"/>
  <c r="J25" i="27"/>
  <c r="L25" i="27" s="1"/>
  <c r="E25" i="27"/>
  <c r="F25" i="27" s="1"/>
  <c r="E35" i="4"/>
  <c r="F35" i="4" s="1"/>
  <c r="E29" i="4"/>
  <c r="F29" i="4" s="1"/>
  <c r="I38" i="26"/>
  <c r="J38" i="26" s="1"/>
  <c r="N34" i="26"/>
  <c r="I22" i="26"/>
  <c r="J22" i="26" s="1"/>
  <c r="I30" i="26"/>
  <c r="J30" i="26" s="1"/>
  <c r="N26" i="26"/>
  <c r="N33" i="26"/>
  <c r="I26" i="26"/>
  <c r="J26" i="26" s="1"/>
  <c r="N36" i="26"/>
  <c r="I32" i="26"/>
  <c r="J32" i="26" s="1"/>
  <c r="I36" i="26"/>
  <c r="J36" i="26" s="1"/>
  <c r="N24" i="26"/>
  <c r="P24" i="26" s="1"/>
  <c r="I33" i="26"/>
  <c r="J33" i="26" s="1"/>
  <c r="N28" i="26"/>
  <c r="I24" i="26"/>
  <c r="J24" i="26" s="1"/>
  <c r="N37" i="26"/>
  <c r="N25" i="26"/>
  <c r="N32" i="26"/>
  <c r="F38" i="25"/>
  <c r="F37" i="25"/>
  <c r="F36" i="25"/>
  <c r="F34" i="25"/>
  <c r="M34" i="25" s="1"/>
  <c r="F33" i="25"/>
  <c r="M33" i="25" s="1"/>
  <c r="F32" i="25"/>
  <c r="M32" i="25" s="1"/>
  <c r="M29" i="25"/>
  <c r="F28" i="25"/>
  <c r="M28" i="25" s="1"/>
  <c r="F26" i="25"/>
  <c r="M26" i="25" s="1"/>
  <c r="M25" i="25"/>
  <c r="F24" i="25"/>
  <c r="M24" i="25" s="1"/>
  <c r="F21" i="25"/>
  <c r="AD28" i="25"/>
  <c r="T22" i="25"/>
  <c r="AD18" i="24"/>
  <c r="AD17" i="24"/>
  <c r="AC17" i="24"/>
  <c r="T17" i="24"/>
  <c r="E38" i="24"/>
  <c r="E37" i="24"/>
  <c r="E36" i="24"/>
  <c r="L33" i="24"/>
  <c r="E32" i="24"/>
  <c r="L32" i="24" s="1"/>
  <c r="E29" i="24"/>
  <c r="L29" i="24" s="1"/>
  <c r="E28" i="24"/>
  <c r="L28" i="24" s="1"/>
  <c r="E26" i="24"/>
  <c r="L26" i="24" s="1"/>
  <c r="E25" i="24"/>
  <c r="L25" i="24" s="1"/>
  <c r="E24" i="24"/>
  <c r="L24" i="24" s="1"/>
  <c r="E22" i="24"/>
  <c r="L22" i="24" s="1"/>
  <c r="E21" i="24"/>
  <c r="L21" i="24" s="1"/>
  <c r="S38" i="24"/>
  <c r="E20" i="24"/>
  <c r="M21" i="25" l="1"/>
  <c r="L23" i="4"/>
  <c r="L33" i="4"/>
  <c r="K25" i="24"/>
  <c r="M25" i="24"/>
  <c r="K30" i="24"/>
  <c r="M30" i="24"/>
  <c r="M36" i="24"/>
  <c r="K36" i="24"/>
  <c r="L36" i="24"/>
  <c r="L30" i="25"/>
  <c r="N30" i="25"/>
  <c r="L26" i="25"/>
  <c r="N26" i="25"/>
  <c r="N37" i="25"/>
  <c r="L37" i="25"/>
  <c r="M37" i="25"/>
  <c r="K24" i="24"/>
  <c r="M24" i="24"/>
  <c r="K26" i="24"/>
  <c r="M26" i="24"/>
  <c r="K29" i="24"/>
  <c r="M29" i="24"/>
  <c r="K32" i="24"/>
  <c r="M32" i="24"/>
  <c r="K34" i="24"/>
  <c r="M34" i="24"/>
  <c r="M37" i="24"/>
  <c r="L37" i="24"/>
  <c r="K37" i="24"/>
  <c r="L20" i="25"/>
  <c r="N20" i="25"/>
  <c r="M20" i="25"/>
  <c r="N28" i="25"/>
  <c r="L28" i="25"/>
  <c r="L33" i="25"/>
  <c r="N33" i="25"/>
  <c r="M38" i="25"/>
  <c r="N38" i="25"/>
  <c r="L38" i="25"/>
  <c r="K22" i="24"/>
  <c r="M22" i="24"/>
  <c r="K28" i="24"/>
  <c r="M28" i="24"/>
  <c r="K33" i="24"/>
  <c r="M33" i="24"/>
  <c r="L38" i="24"/>
  <c r="M38" i="24"/>
  <c r="K38" i="24"/>
  <c r="N25" i="25"/>
  <c r="L25" i="25"/>
  <c r="L36" i="25"/>
  <c r="N36" i="25"/>
  <c r="M36" i="25"/>
  <c r="N22" i="25"/>
  <c r="L22" i="25"/>
  <c r="N32" i="25"/>
  <c r="L32" i="25"/>
  <c r="M21" i="24"/>
  <c r="K21" i="24"/>
  <c r="K20" i="24"/>
  <c r="M20" i="24"/>
  <c r="L20" i="24"/>
  <c r="N21" i="25"/>
  <c r="L21" i="25"/>
  <c r="N24" i="25"/>
  <c r="L24" i="25"/>
  <c r="AE29" i="25"/>
  <c r="N29" i="25"/>
  <c r="L29" i="25"/>
  <c r="L34" i="25"/>
  <c r="N34" i="25"/>
  <c r="AC25" i="24"/>
  <c r="P34" i="26"/>
  <c r="P30" i="26"/>
  <c r="P33" i="26"/>
  <c r="P25" i="26"/>
  <c r="P28" i="26"/>
  <c r="P37" i="26"/>
  <c r="P36" i="26"/>
  <c r="P21" i="26"/>
  <c r="AC26" i="24"/>
  <c r="J35" i="4"/>
  <c r="K35" i="4"/>
  <c r="J29" i="4"/>
  <c r="K29" i="4"/>
  <c r="U29" i="24"/>
  <c r="P26" i="26"/>
  <c r="P38" i="26"/>
  <c r="AC21" i="24"/>
  <c r="AC34" i="24"/>
  <c r="T25" i="24"/>
  <c r="AD36" i="24"/>
  <c r="T24" i="25"/>
  <c r="S34" i="24"/>
  <c r="S32" i="24"/>
  <c r="P32" i="26"/>
  <c r="S21" i="24"/>
  <c r="S26" i="24"/>
  <c r="S28" i="24"/>
  <c r="T33" i="24"/>
  <c r="U24" i="24"/>
  <c r="S22" i="24"/>
  <c r="S24" i="24"/>
  <c r="S29" i="24"/>
  <c r="S37" i="24"/>
  <c r="AD38" i="25"/>
  <c r="AD21" i="25"/>
  <c r="T34" i="25"/>
  <c r="AE36" i="25"/>
  <c r="AE30" i="25"/>
  <c r="AE25" i="25"/>
  <c r="AE37" i="25"/>
  <c r="AE26" i="25"/>
  <c r="AE38" i="25"/>
  <c r="AE33" i="25"/>
  <c r="AE28" i="25"/>
  <c r="AD34" i="25"/>
  <c r="AD29" i="25"/>
  <c r="AD24" i="25"/>
  <c r="AD36" i="25"/>
  <c r="AD30" i="25"/>
  <c r="AD25" i="25"/>
  <c r="AD37" i="25"/>
  <c r="AD32" i="25"/>
  <c r="AD26" i="25"/>
  <c r="T21" i="25"/>
  <c r="AE21" i="25"/>
  <c r="AD22" i="25"/>
  <c r="T36" i="25"/>
  <c r="T30" i="25"/>
  <c r="T25" i="25"/>
  <c r="T37" i="25"/>
  <c r="T32" i="25"/>
  <c r="T26" i="25"/>
  <c r="T38" i="25"/>
  <c r="T33" i="25"/>
  <c r="T28" i="25"/>
  <c r="AE22" i="25"/>
  <c r="AE24" i="25"/>
  <c r="T29" i="25"/>
  <c r="AD33" i="25"/>
  <c r="AE34" i="25"/>
  <c r="AC20" i="24"/>
  <c r="AD37" i="24"/>
  <c r="AD32" i="24"/>
  <c r="AD26" i="24"/>
  <c r="AD34" i="24"/>
  <c r="AD29" i="24"/>
  <c r="AD24" i="24"/>
  <c r="AD38" i="24"/>
  <c r="AD30" i="24"/>
  <c r="AD28" i="24"/>
  <c r="AD22" i="24"/>
  <c r="AD20" i="24"/>
  <c r="T30" i="24"/>
  <c r="U36" i="24"/>
  <c r="U30" i="24"/>
  <c r="U38" i="24"/>
  <c r="U33" i="24"/>
  <c r="U28" i="24"/>
  <c r="U22" i="24"/>
  <c r="U37" i="24"/>
  <c r="U34" i="24"/>
  <c r="U26" i="24"/>
  <c r="U20" i="24"/>
  <c r="T20" i="24"/>
  <c r="U21" i="24"/>
  <c r="AD25" i="24"/>
  <c r="U32" i="24"/>
  <c r="AD33" i="24"/>
  <c r="AD21" i="24"/>
  <c r="U25" i="24"/>
  <c r="T34" i="24"/>
  <c r="T29" i="24"/>
  <c r="T37" i="24"/>
  <c r="T32" i="24"/>
  <c r="T26" i="24"/>
  <c r="T21" i="24"/>
  <c r="T38" i="24"/>
  <c r="T28" i="24"/>
  <c r="T24" i="24"/>
  <c r="T36" i="24"/>
  <c r="T22" i="24"/>
  <c r="AC36" i="24"/>
  <c r="AC30" i="24"/>
  <c r="AC38" i="24"/>
  <c r="AC33" i="24"/>
  <c r="AC28" i="24"/>
  <c r="AC22" i="24"/>
  <c r="AC24" i="24"/>
  <c r="AC29" i="24"/>
  <c r="AC37" i="24"/>
  <c r="S25" i="24"/>
  <c r="S30" i="24"/>
  <c r="S36" i="24"/>
  <c r="S33" i="24"/>
  <c r="AF21" i="24" l="1"/>
  <c r="H21" i="24" s="1"/>
  <c r="O21" i="24" s="1"/>
  <c r="L29" i="4"/>
  <c r="L35" i="4"/>
  <c r="AF25" i="24"/>
  <c r="H25" i="24" s="1"/>
  <c r="AF24" i="24"/>
  <c r="H24" i="24" s="1"/>
  <c r="AF26" i="24"/>
  <c r="H26" i="24" s="1"/>
  <c r="W29" i="24"/>
  <c r="G29" i="24" s="1"/>
  <c r="AF36" i="24"/>
  <c r="AF20" i="24"/>
  <c r="H20" i="24" s="1"/>
  <c r="W21" i="24"/>
  <c r="AF32" i="24"/>
  <c r="H32" i="24" s="1"/>
  <c r="AI38" i="25"/>
  <c r="I38" i="25" s="1"/>
  <c r="Y34" i="25"/>
  <c r="AF34" i="24"/>
  <c r="W36" i="24"/>
  <c r="G36" i="24" s="1"/>
  <c r="W25" i="24"/>
  <c r="W24" i="24"/>
  <c r="W34" i="24"/>
  <c r="G34" i="24" s="1"/>
  <c r="W22" i="24"/>
  <c r="G22" i="24" s="1"/>
  <c r="Y20" i="25"/>
  <c r="AF38" i="24"/>
  <c r="AI20" i="25"/>
  <c r="I20" i="25" s="1"/>
  <c r="Y33" i="25"/>
  <c r="H33" i="25" s="1"/>
  <c r="Y37" i="25"/>
  <c r="AI28" i="25"/>
  <c r="AI29" i="25"/>
  <c r="Y22" i="25"/>
  <c r="Y24" i="25"/>
  <c r="H24" i="25" s="1"/>
  <c r="AI36" i="25"/>
  <c r="AI25" i="25"/>
  <c r="AI21" i="25"/>
  <c r="Y26" i="25"/>
  <c r="Y30" i="25"/>
  <c r="Y29" i="25"/>
  <c r="Y38" i="25"/>
  <c r="Y25" i="25"/>
  <c r="AI22" i="25"/>
  <c r="AI26" i="25"/>
  <c r="AI30" i="25"/>
  <c r="AI34" i="25"/>
  <c r="AI33" i="25"/>
  <c r="Y28" i="25"/>
  <c r="Y36" i="25"/>
  <c r="Y21" i="25"/>
  <c r="AI37" i="25"/>
  <c r="AI24" i="25"/>
  <c r="W33" i="24"/>
  <c r="AF22" i="24"/>
  <c r="H22" i="24" s="1"/>
  <c r="AF30" i="24"/>
  <c r="W20" i="24"/>
  <c r="AF29" i="24"/>
  <c r="AF37" i="24"/>
  <c r="AF28" i="24"/>
  <c r="W32" i="24"/>
  <c r="W26" i="24"/>
  <c r="W38" i="24"/>
  <c r="W37" i="24"/>
  <c r="AF33" i="24"/>
  <c r="W30" i="24"/>
  <c r="W28" i="24"/>
  <c r="AJ25" i="24" l="1"/>
  <c r="AI24" i="24"/>
  <c r="O26" i="24"/>
  <c r="O22" i="24"/>
  <c r="H26" i="25"/>
  <c r="O26" i="25" s="1"/>
  <c r="H38" i="24"/>
  <c r="O38" i="24" s="1"/>
  <c r="AI21" i="24"/>
  <c r="AJ20" i="24"/>
  <c r="H34" i="25"/>
  <c r="O34" i="25" s="1"/>
  <c r="I28" i="25"/>
  <c r="G24" i="24"/>
  <c r="I24" i="24" s="1"/>
  <c r="J24" i="24" s="1"/>
  <c r="AJ24" i="24"/>
  <c r="O24" i="24"/>
  <c r="AJ36" i="24"/>
  <c r="H36" i="24"/>
  <c r="O36" i="24" s="1"/>
  <c r="AI36" i="24"/>
  <c r="AL38" i="25"/>
  <c r="G21" i="24"/>
  <c r="N21" i="24" s="1"/>
  <c r="O20" i="24"/>
  <c r="AL28" i="25"/>
  <c r="AJ34" i="24"/>
  <c r="AL29" i="25"/>
  <c r="AN29" i="25"/>
  <c r="AJ21" i="24"/>
  <c r="AI25" i="24"/>
  <c r="I29" i="25"/>
  <c r="AI37" i="24"/>
  <c r="P20" i="25"/>
  <c r="G25" i="24"/>
  <c r="I25" i="24" s="1"/>
  <c r="J25" i="24" s="1"/>
  <c r="AJ32" i="24"/>
  <c r="H34" i="24"/>
  <c r="I25" i="25"/>
  <c r="AI34" i="24"/>
  <c r="H30" i="24"/>
  <c r="H30" i="25"/>
  <c r="O30" i="25" s="1"/>
  <c r="AN20" i="25"/>
  <c r="O25" i="24"/>
  <c r="N34" i="24"/>
  <c r="AI30" i="24"/>
  <c r="I21" i="25"/>
  <c r="AJ33" i="24"/>
  <c r="H33" i="24"/>
  <c r="O33" i="24" s="1"/>
  <c r="AL20" i="25"/>
  <c r="H28" i="24"/>
  <c r="I36" i="25"/>
  <c r="H29" i="24"/>
  <c r="AJ29" i="24"/>
  <c r="H37" i="24"/>
  <c r="O37" i="24" s="1"/>
  <c r="AJ22" i="24"/>
  <c r="AN25" i="25"/>
  <c r="AI32" i="24"/>
  <c r="G20" i="24"/>
  <c r="I20" i="24" s="1"/>
  <c r="J20" i="24" s="1"/>
  <c r="AI20" i="24"/>
  <c r="O32" i="24"/>
  <c r="G32" i="24"/>
  <c r="I32" i="24" s="1"/>
  <c r="J32" i="24" s="1"/>
  <c r="H37" i="25"/>
  <c r="O37" i="25" s="1"/>
  <c r="O33" i="25"/>
  <c r="O24" i="25"/>
  <c r="H22" i="25"/>
  <c r="O22" i="25" s="1"/>
  <c r="AN32" i="25"/>
  <c r="AN28" i="25"/>
  <c r="AL21" i="25"/>
  <c r="I32" i="25"/>
  <c r="AL33" i="25"/>
  <c r="I33" i="25"/>
  <c r="AN33" i="25"/>
  <c r="H25" i="25"/>
  <c r="H38" i="25"/>
  <c r="J38" i="25" s="1"/>
  <c r="K38" i="25" s="1"/>
  <c r="P38" i="25"/>
  <c r="AN24" i="25"/>
  <c r="I24" i="25"/>
  <c r="AL24" i="25"/>
  <c r="AL25" i="25"/>
  <c r="AN26" i="25"/>
  <c r="I26" i="25"/>
  <c r="P26" i="25" s="1"/>
  <c r="AL26" i="25"/>
  <c r="H29" i="25"/>
  <c r="H21" i="25"/>
  <c r="AN34" i="25"/>
  <c r="I34" i="25"/>
  <c r="P34" i="25" s="1"/>
  <c r="AL34" i="25"/>
  <c r="H36" i="25"/>
  <c r="AL36" i="25"/>
  <c r="AN30" i="25"/>
  <c r="I30" i="25"/>
  <c r="P30" i="25" s="1"/>
  <c r="AL30" i="25"/>
  <c r="H32" i="25"/>
  <c r="AN37" i="25"/>
  <c r="I37" i="25"/>
  <c r="P37" i="25" s="1"/>
  <c r="AL37" i="25"/>
  <c r="H28" i="25"/>
  <c r="AN36" i="25"/>
  <c r="AL32" i="25"/>
  <c r="AN38" i="25"/>
  <c r="AL22" i="25"/>
  <c r="I22" i="25"/>
  <c r="P22" i="25" s="1"/>
  <c r="AN22" i="25"/>
  <c r="AN21" i="25"/>
  <c r="AI22" i="24"/>
  <c r="AI29" i="24"/>
  <c r="G33" i="24"/>
  <c r="N33" i="24" s="1"/>
  <c r="AI33" i="24"/>
  <c r="AJ37" i="24"/>
  <c r="AI28" i="24"/>
  <c r="G37" i="24"/>
  <c r="N37" i="24" s="1"/>
  <c r="AJ38" i="24"/>
  <c r="AI38" i="24"/>
  <c r="AI26" i="24"/>
  <c r="G38" i="24"/>
  <c r="N38" i="24" s="1"/>
  <c r="G26" i="24"/>
  <c r="N26" i="24" s="1"/>
  <c r="AJ26" i="24"/>
  <c r="G28" i="24"/>
  <c r="G30" i="24"/>
  <c r="N22" i="24"/>
  <c r="N36" i="24"/>
  <c r="AJ28" i="24"/>
  <c r="AJ30" i="24"/>
  <c r="I22" i="24"/>
  <c r="J22" i="24" s="1"/>
  <c r="N29" i="24"/>
  <c r="P24" i="25" l="1"/>
  <c r="Q24" i="25" s="1"/>
  <c r="P21" i="25"/>
  <c r="P33" i="25"/>
  <c r="Q33" i="25" s="1"/>
  <c r="O29" i="24"/>
  <c r="P29" i="24" s="1"/>
  <c r="P25" i="25"/>
  <c r="P36" i="25"/>
  <c r="P29" i="25"/>
  <c r="P28" i="25"/>
  <c r="P32" i="25"/>
  <c r="O30" i="24"/>
  <c r="O34" i="24"/>
  <c r="P34" i="24" s="1"/>
  <c r="O28" i="24"/>
  <c r="N25" i="24"/>
  <c r="P25" i="24" s="1"/>
  <c r="J28" i="25"/>
  <c r="K28" i="25" s="1"/>
  <c r="N24" i="24"/>
  <c r="P24" i="24" s="1"/>
  <c r="I21" i="24"/>
  <c r="J21" i="24" s="1"/>
  <c r="J20" i="25"/>
  <c r="K20" i="25" s="1"/>
  <c r="I36" i="24"/>
  <c r="J36" i="24" s="1"/>
  <c r="J29" i="25"/>
  <c r="K29" i="25" s="1"/>
  <c r="I34" i="24"/>
  <c r="J34" i="24" s="1"/>
  <c r="N20" i="24"/>
  <c r="P20" i="24" s="1"/>
  <c r="J21" i="25"/>
  <c r="K21" i="25" s="1"/>
  <c r="I30" i="24"/>
  <c r="J30" i="24" s="1"/>
  <c r="J25" i="25"/>
  <c r="K25" i="25" s="1"/>
  <c r="I38" i="24"/>
  <c r="J38" i="24" s="1"/>
  <c r="O20" i="25"/>
  <c r="Q20" i="25" s="1"/>
  <c r="P26" i="24"/>
  <c r="P33" i="24"/>
  <c r="I29" i="24"/>
  <c r="J29" i="24" s="1"/>
  <c r="O36" i="25"/>
  <c r="I37" i="24"/>
  <c r="J37" i="24" s="1"/>
  <c r="P22" i="24"/>
  <c r="I33" i="24"/>
  <c r="J33" i="24" s="1"/>
  <c r="P37" i="24"/>
  <c r="O32" i="25"/>
  <c r="N32" i="24"/>
  <c r="P32" i="24" s="1"/>
  <c r="O21" i="25"/>
  <c r="J32" i="25"/>
  <c r="K32" i="25" s="1"/>
  <c r="Q34" i="25"/>
  <c r="J34" i="25"/>
  <c r="K34" i="25" s="1"/>
  <c r="Q22" i="25"/>
  <c r="J22" i="25"/>
  <c r="K22" i="25" s="1"/>
  <c r="J26" i="25"/>
  <c r="K26" i="25" s="1"/>
  <c r="Q26" i="25"/>
  <c r="J24" i="25"/>
  <c r="K24" i="25" s="1"/>
  <c r="J37" i="25"/>
  <c r="K37" i="25" s="1"/>
  <c r="Q37" i="25"/>
  <c r="O28" i="25"/>
  <c r="J30" i="25"/>
  <c r="K30" i="25" s="1"/>
  <c r="Q30" i="25"/>
  <c r="O38" i="25"/>
  <c r="Q38" i="25" s="1"/>
  <c r="J33" i="25"/>
  <c r="K33" i="25" s="1"/>
  <c r="O29" i="25"/>
  <c r="J36" i="25"/>
  <c r="K36" i="25" s="1"/>
  <c r="O25" i="25"/>
  <c r="P38" i="24"/>
  <c r="N28" i="24"/>
  <c r="I26" i="24"/>
  <c r="J26" i="24" s="1"/>
  <c r="P36" i="24"/>
  <c r="I28" i="24"/>
  <c r="J28" i="24" s="1"/>
  <c r="P21" i="24"/>
  <c r="N30" i="24"/>
  <c r="P30" i="24" l="1"/>
  <c r="Q32" i="25"/>
  <c r="Q28" i="25"/>
  <c r="Q25" i="25"/>
  <c r="Q29" i="25"/>
  <c r="Q36" i="25"/>
  <c r="Q21" i="25"/>
  <c r="P28" i="24"/>
  <c r="E38" i="15"/>
  <c r="E37" i="15"/>
  <c r="E34" i="15"/>
  <c r="L34" i="15" s="1"/>
  <c r="L33" i="15"/>
  <c r="E32" i="15"/>
  <c r="L32" i="15" s="1"/>
  <c r="E30" i="15"/>
  <c r="L30" i="15" s="1"/>
  <c r="E29" i="15"/>
  <c r="L29" i="15" s="1"/>
  <c r="E28" i="15"/>
  <c r="L28" i="15" s="1"/>
  <c r="E26" i="15"/>
  <c r="L26" i="15" s="1"/>
  <c r="E25" i="15"/>
  <c r="L25" i="15" s="1"/>
  <c r="E24" i="15"/>
  <c r="L24" i="15" s="1"/>
  <c r="E22" i="15"/>
  <c r="L22" i="15" s="1"/>
  <c r="E21" i="15"/>
  <c r="L21" i="15" s="1"/>
  <c r="E20" i="15"/>
  <c r="M21" i="15" l="1"/>
  <c r="K21" i="15"/>
  <c r="M26" i="15"/>
  <c r="K26" i="15"/>
  <c r="M32" i="15"/>
  <c r="K32" i="15"/>
  <c r="M37" i="15"/>
  <c r="L37" i="15"/>
  <c r="K37" i="15"/>
  <c r="M22" i="15"/>
  <c r="K22" i="15"/>
  <c r="K28" i="15"/>
  <c r="M28" i="15"/>
  <c r="K33" i="15"/>
  <c r="M33" i="15"/>
  <c r="L38" i="15"/>
  <c r="M38" i="15"/>
  <c r="K38" i="15"/>
  <c r="M24" i="15"/>
  <c r="K24" i="15"/>
  <c r="K29" i="15"/>
  <c r="M29" i="15"/>
  <c r="M34" i="15"/>
  <c r="K34" i="15"/>
  <c r="L20" i="15"/>
  <c r="M20" i="15"/>
  <c r="K20" i="15"/>
  <c r="M25" i="15"/>
  <c r="K25" i="15"/>
  <c r="M30" i="15"/>
  <c r="K30" i="15"/>
  <c r="K36" i="15"/>
  <c r="M36" i="15"/>
  <c r="L36" i="15"/>
  <c r="AD18" i="15"/>
  <c r="AD17" i="15"/>
  <c r="S20" i="15"/>
  <c r="T17" i="15"/>
  <c r="AC17" i="15"/>
  <c r="AD37" i="15" l="1"/>
  <c r="AD32" i="15"/>
  <c r="AD26" i="15"/>
  <c r="AD21" i="15"/>
  <c r="AD28" i="15"/>
  <c r="AD36" i="15"/>
  <c r="AD30" i="15"/>
  <c r="AD25" i="15"/>
  <c r="AD20" i="15"/>
  <c r="AD33" i="15"/>
  <c r="AD34" i="15"/>
  <c r="AD29" i="15"/>
  <c r="AD24" i="15"/>
  <c r="AD38" i="15"/>
  <c r="AD22" i="15"/>
  <c r="U38" i="15" l="1"/>
  <c r="U37" i="15"/>
  <c r="U36" i="15"/>
  <c r="U34" i="15"/>
  <c r="U33" i="15"/>
  <c r="U32" i="15"/>
  <c r="U30" i="15"/>
  <c r="U29" i="15"/>
  <c r="U28" i="15"/>
  <c r="U26" i="15"/>
  <c r="U25" i="15"/>
  <c r="U24" i="15"/>
  <c r="U22" i="15"/>
  <c r="U21" i="15"/>
  <c r="U20" i="15"/>
  <c r="S38" i="15"/>
  <c r="S37" i="15"/>
  <c r="S36" i="15"/>
  <c r="S34" i="15"/>
  <c r="S33" i="15"/>
  <c r="S32" i="15"/>
  <c r="S30" i="15"/>
  <c r="S29" i="15"/>
  <c r="S28" i="15"/>
  <c r="S26" i="15"/>
  <c r="S25" i="15"/>
  <c r="S24" i="15"/>
  <c r="S22" i="15"/>
  <c r="S21" i="15"/>
  <c r="AB38" i="15"/>
  <c r="AB37" i="15"/>
  <c r="AB36" i="15"/>
  <c r="AB34" i="15"/>
  <c r="AB33" i="15"/>
  <c r="AB32" i="15"/>
  <c r="AB30" i="15"/>
  <c r="AB29" i="15"/>
  <c r="AB28" i="15"/>
  <c r="AB26" i="15"/>
  <c r="AB25" i="15"/>
  <c r="AB24" i="15"/>
  <c r="AB22" i="15"/>
  <c r="AB21" i="15"/>
  <c r="AB20" i="15"/>
  <c r="AC36" i="15" l="1"/>
  <c r="AF36" i="15" s="1"/>
  <c r="AC30" i="15"/>
  <c r="AF30" i="15" s="1"/>
  <c r="AC25" i="15"/>
  <c r="AF25" i="15" s="1"/>
  <c r="AC20" i="15"/>
  <c r="AF20" i="15" s="1"/>
  <c r="AC34" i="15"/>
  <c r="AF34" i="15" s="1"/>
  <c r="AC29" i="15"/>
  <c r="AF29" i="15" s="1"/>
  <c r="AC24" i="15"/>
  <c r="AF24" i="15" s="1"/>
  <c r="AC38" i="15"/>
  <c r="AF38" i="15" s="1"/>
  <c r="AC33" i="15"/>
  <c r="AF33" i="15" s="1"/>
  <c r="AC28" i="15"/>
  <c r="AF28" i="15" s="1"/>
  <c r="AC22" i="15"/>
  <c r="AF22" i="15" s="1"/>
  <c r="AC37" i="15"/>
  <c r="AF37" i="15" s="1"/>
  <c r="AC32" i="15"/>
  <c r="AF32" i="15" s="1"/>
  <c r="AC26" i="15"/>
  <c r="AF26" i="15" s="1"/>
  <c r="AC21" i="15"/>
  <c r="AF21" i="15" s="1"/>
  <c r="T38" i="15"/>
  <c r="W38" i="15" s="1"/>
  <c r="T28" i="15"/>
  <c r="W28" i="15" s="1"/>
  <c r="T25" i="15"/>
  <c r="W25" i="15" s="1"/>
  <c r="T20" i="15"/>
  <c r="W20" i="15" s="1"/>
  <c r="T29" i="15"/>
  <c r="W29" i="15" s="1"/>
  <c r="T22" i="15"/>
  <c r="W22" i="15" s="1"/>
  <c r="T37" i="15"/>
  <c r="W37" i="15" s="1"/>
  <c r="T21" i="15"/>
  <c r="W21" i="15" s="1"/>
  <c r="T24" i="15"/>
  <c r="W24" i="15" s="1"/>
  <c r="T34" i="15"/>
  <c r="W34" i="15" s="1"/>
  <c r="T30" i="15"/>
  <c r="W30" i="15" s="1"/>
  <c r="T26" i="15"/>
  <c r="W26" i="15" s="1"/>
  <c r="T36" i="15"/>
  <c r="W36" i="15" s="1"/>
  <c r="T33" i="15"/>
  <c r="W33" i="15" s="1"/>
  <c r="T32" i="15"/>
  <c r="W32" i="15" s="1"/>
  <c r="H33" i="15" l="1"/>
  <c r="O33" i="15" s="1"/>
  <c r="H21" i="15"/>
  <c r="H37" i="15"/>
  <c r="H28" i="15"/>
  <c r="H34" i="15"/>
  <c r="H25" i="15"/>
  <c r="H24" i="15"/>
  <c r="H38" i="15"/>
  <c r="H32" i="15"/>
  <c r="O32" i="15" s="1"/>
  <c r="H36" i="15"/>
  <c r="H29" i="15"/>
  <c r="H26" i="15"/>
  <c r="H20" i="15"/>
  <c r="H30" i="15"/>
  <c r="H22" i="15"/>
  <c r="G20" i="15"/>
  <c r="G30" i="15"/>
  <c r="G24" i="15"/>
  <c r="G29" i="15"/>
  <c r="G26" i="15"/>
  <c r="G33" i="15"/>
  <c r="G34" i="15"/>
  <c r="G38" i="15"/>
  <c r="G37" i="15"/>
  <c r="G25" i="15"/>
  <c r="G21" i="15"/>
  <c r="G28" i="15"/>
  <c r="G32" i="15"/>
  <c r="G36" i="15"/>
  <c r="G22" i="15"/>
  <c r="AI21" i="15"/>
  <c r="AJ29" i="15"/>
  <c r="AI32" i="15"/>
  <c r="AJ24" i="15"/>
  <c r="AJ37" i="15"/>
  <c r="AJ28" i="15"/>
  <c r="AJ26" i="15"/>
  <c r="AJ20" i="15"/>
  <c r="AI30" i="15"/>
  <c r="AJ22" i="15"/>
  <c r="AI25" i="15"/>
  <c r="AJ34" i="15"/>
  <c r="AI24" i="15"/>
  <c r="AJ36" i="15"/>
  <c r="AJ38" i="15"/>
  <c r="AI33" i="15"/>
  <c r="AJ33" i="15"/>
  <c r="AI20" i="15"/>
  <c r="AI36" i="15"/>
  <c r="AJ30" i="15"/>
  <c r="AI26" i="15"/>
  <c r="AI34" i="15"/>
  <c r="AI28" i="15"/>
  <c r="AJ25" i="15"/>
  <c r="AI22" i="15"/>
  <c r="AI38" i="15"/>
  <c r="O21" i="15" l="1"/>
  <c r="O24" i="15"/>
  <c r="I25" i="15"/>
  <c r="J25" i="15" s="1"/>
  <c r="O26" i="15"/>
  <c r="O22" i="15"/>
  <c r="O20" i="15"/>
  <c r="O38" i="15"/>
  <c r="O28" i="15"/>
  <c r="O37" i="15"/>
  <c r="O30" i="15"/>
  <c r="O36" i="15"/>
  <c r="O25" i="15"/>
  <c r="O29" i="15"/>
  <c r="O34" i="15"/>
  <c r="N30" i="15"/>
  <c r="N20" i="15"/>
  <c r="N24" i="15"/>
  <c r="I24" i="15"/>
  <c r="J24" i="15" s="1"/>
  <c r="I20" i="15"/>
  <c r="J20" i="15" s="1"/>
  <c r="I32" i="15"/>
  <c r="J32" i="15" s="1"/>
  <c r="N32" i="15"/>
  <c r="P32" i="15" s="1"/>
  <c r="I37" i="15"/>
  <c r="J37" i="15" s="1"/>
  <c r="N37" i="15"/>
  <c r="I26" i="15"/>
  <c r="J26" i="15" s="1"/>
  <c r="N26" i="15"/>
  <c r="I30" i="15"/>
  <c r="J30" i="15" s="1"/>
  <c r="I38" i="15"/>
  <c r="J38" i="15" s="1"/>
  <c r="N38" i="15"/>
  <c r="I29" i="15"/>
  <c r="J29" i="15" s="1"/>
  <c r="N29" i="15"/>
  <c r="I22" i="15"/>
  <c r="J22" i="15" s="1"/>
  <c r="N22" i="15"/>
  <c r="I28" i="15"/>
  <c r="J28" i="15" s="1"/>
  <c r="N28" i="15"/>
  <c r="N25" i="15"/>
  <c r="I34" i="15"/>
  <c r="J34" i="15" s="1"/>
  <c r="N34" i="15"/>
  <c r="I36" i="15"/>
  <c r="J36" i="15" s="1"/>
  <c r="N36" i="15"/>
  <c r="P36" i="15" s="1"/>
  <c r="I21" i="15"/>
  <c r="J21" i="15" s="1"/>
  <c r="N21" i="15"/>
  <c r="I33" i="15"/>
  <c r="J33" i="15" s="1"/>
  <c r="N33" i="15"/>
  <c r="P33" i="15" s="1"/>
  <c r="AJ21" i="15"/>
  <c r="AJ32" i="15"/>
  <c r="AI37" i="15"/>
  <c r="AI29" i="15"/>
  <c r="X21" i="27"/>
  <c r="P21" i="15" l="1"/>
  <c r="P26" i="15"/>
  <c r="P38" i="15"/>
  <c r="P25" i="15"/>
  <c r="P30" i="15"/>
  <c r="P34" i="15"/>
  <c r="P28" i="15"/>
  <c r="P22" i="15"/>
  <c r="P29" i="15"/>
  <c r="P37" i="15"/>
  <c r="P20" i="15"/>
  <c r="P24" i="15"/>
  <c r="D21" i="27"/>
  <c r="K21" i="27" s="1"/>
  <c r="L21" i="27" s="1"/>
  <c r="AC21" i="27"/>
  <c r="AE21" i="27"/>
  <c r="E21" i="27" l="1"/>
  <c r="F21" i="27" s="1"/>
</calcChain>
</file>

<file path=xl/sharedStrings.xml><?xml version="1.0" encoding="utf-8"?>
<sst xmlns="http://schemas.openxmlformats.org/spreadsheetml/2006/main" count="2897" uniqueCount="601">
  <si>
    <t>kWh</t>
  </si>
  <si>
    <t>Current</t>
  </si>
  <si>
    <t>Customer</t>
  </si>
  <si>
    <t>Charge</t>
  </si>
  <si>
    <t>Bill</t>
  </si>
  <si>
    <t>Total</t>
  </si>
  <si>
    <t>$</t>
  </si>
  <si>
    <t>Difference</t>
  </si>
  <si>
    <t>%</t>
  </si>
  <si>
    <t>Proposed</t>
  </si>
  <si>
    <t>Rate GS</t>
  </si>
  <si>
    <t>Customer Charge</t>
  </si>
  <si>
    <t>Energy Charge</t>
  </si>
  <si>
    <t>Demand Charge</t>
  </si>
  <si>
    <t>per kWh</t>
  </si>
  <si>
    <t>Rate PS</t>
  </si>
  <si>
    <t>Primary</t>
  </si>
  <si>
    <t>Secondary</t>
  </si>
  <si>
    <t xml:space="preserve">Demand </t>
  </si>
  <si>
    <t>per kW</t>
  </si>
  <si>
    <t>kW</t>
  </si>
  <si>
    <t>Rate RTS</t>
  </si>
  <si>
    <t>Base</t>
  </si>
  <si>
    <t>Load</t>
  </si>
  <si>
    <t>Factor</t>
  </si>
  <si>
    <t>Demand</t>
  </si>
  <si>
    <t>kVA</t>
  </si>
  <si>
    <t xml:space="preserve">Load </t>
  </si>
  <si>
    <t xml:space="preserve"> Demand </t>
  </si>
  <si>
    <t>Rate TOD</t>
  </si>
  <si>
    <t>Intermediate</t>
  </si>
  <si>
    <t xml:space="preserve">    Intermediate</t>
  </si>
  <si>
    <t xml:space="preserve">    Peak</t>
  </si>
  <si>
    <t xml:space="preserve">    Base</t>
  </si>
  <si>
    <t>Peak</t>
  </si>
  <si>
    <t>Single Phase</t>
  </si>
  <si>
    <t>Three Phase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</si>
  <si>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</si>
  <si>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</si>
  <si>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</si>
  <si>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</si>
  <si>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</si>
  <si>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</si>
  <si>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</si>
  <si>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</si>
  <si>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</si>
  <si>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</si>
  <si>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Dec</t>
  </si>
  <si>
    <t xml:space="preserve">               Hours </t>
  </si>
  <si>
    <t xml:space="preserve">             of Use</t>
  </si>
  <si>
    <t xml:space="preserve">   kWh</t>
  </si>
  <si>
    <t xml:space="preserve">      kWh</t>
  </si>
  <si>
    <t xml:space="preserve"> kW</t>
  </si>
  <si>
    <t xml:space="preserve">    Summer</t>
  </si>
  <si>
    <t xml:space="preserve">    Winter</t>
  </si>
  <si>
    <t>Charge **</t>
  </si>
  <si>
    <t>Basic Service</t>
  </si>
  <si>
    <t>Energy</t>
  </si>
  <si>
    <t>Charge**</t>
  </si>
  <si>
    <t>per kVA</t>
  </si>
  <si>
    <t>CURRENT</t>
  </si>
  <si>
    <t>PROPOSED</t>
  </si>
  <si>
    <t>Service</t>
  </si>
  <si>
    <t>Basic</t>
  </si>
  <si>
    <t>Rate FLS</t>
  </si>
  <si>
    <t>Transmission</t>
  </si>
  <si>
    <t>per kW (Summer)</t>
  </si>
  <si>
    <t>per kW (Winter)</t>
  </si>
  <si>
    <t>($)</t>
  </si>
  <si>
    <t>(%)</t>
  </si>
  <si>
    <t>FAC</t>
  </si>
  <si>
    <t>ECR</t>
  </si>
  <si>
    <t>DSM</t>
  </si>
  <si>
    <t xml:space="preserve">Proposed </t>
  </si>
  <si>
    <t xml:space="preserve">Increase </t>
  </si>
  <si>
    <t>Base Fuel</t>
  </si>
  <si>
    <t>General Service - Single Phase</t>
  </si>
  <si>
    <t>General Service - Three Phase</t>
  </si>
  <si>
    <t>Rate RTOD-E</t>
  </si>
  <si>
    <t>Rate RTOD-D</t>
  </si>
  <si>
    <t xml:space="preserve">    Base / Off Peak</t>
  </si>
  <si>
    <t>On-Peak</t>
  </si>
  <si>
    <t>Off-Peak</t>
  </si>
  <si>
    <t>Interm</t>
  </si>
  <si>
    <t>LIGHTING</t>
  </si>
  <si>
    <t>Rate Per Light Per Month</t>
  </si>
  <si>
    <t>OVERHEAD SERVICE</t>
  </si>
  <si>
    <r>
      <t xml:space="preserve">  </t>
    </r>
    <r>
      <rPr>
        <b/>
        <i/>
        <sz val="11"/>
        <rFont val="Times New Roman"/>
        <family val="1"/>
      </rPr>
      <t>High Pressure Sodium</t>
    </r>
  </si>
  <si>
    <r>
      <t xml:space="preserve">  </t>
    </r>
    <r>
      <rPr>
        <b/>
        <i/>
        <sz val="11"/>
        <rFont val="Times New Roman"/>
        <family val="1"/>
      </rPr>
      <t>Metal Halide</t>
    </r>
  </si>
  <si>
    <t>UNDERGROUND SERVICE</t>
  </si>
  <si>
    <t xml:space="preserve">  High Pressure Sodium</t>
  </si>
  <si>
    <t xml:space="preserve">  Metal Halide</t>
  </si>
  <si>
    <r>
      <t xml:space="preserve">  </t>
    </r>
    <r>
      <rPr>
        <b/>
        <i/>
        <sz val="11"/>
        <rFont val="Times New Roman"/>
        <family val="1"/>
      </rPr>
      <t>Mercury Vapor</t>
    </r>
  </si>
  <si>
    <r>
      <t xml:space="preserve">  </t>
    </r>
    <r>
      <rPr>
        <b/>
        <i/>
        <sz val="11"/>
        <rFont val="Times New Roman"/>
        <family val="1"/>
      </rPr>
      <t>Incandescent</t>
    </r>
  </si>
  <si>
    <t>Restricted Lighting Service - Rate RLS</t>
  </si>
  <si>
    <t>Lighting Service - Rate LS</t>
  </si>
  <si>
    <t>Analysis assumes Peak Demand occurs in the Peak Period</t>
  </si>
  <si>
    <r>
      <t xml:space="preserve">  </t>
    </r>
    <r>
      <rPr>
        <b/>
        <i/>
        <sz val="10"/>
        <rFont val="Arial"/>
        <family val="2"/>
      </rPr>
      <t>Mercury Vapor</t>
    </r>
  </si>
  <si>
    <r>
      <t xml:space="preserve">  </t>
    </r>
    <r>
      <rPr>
        <b/>
        <i/>
        <sz val="10"/>
        <rFont val="Arial"/>
        <family val="2"/>
      </rPr>
      <t>Incandescent</t>
    </r>
  </si>
  <si>
    <t>Hours of Use</t>
  </si>
  <si>
    <t>All inputs linked to INPUT tab</t>
  </si>
  <si>
    <t>Residential (Rate RS) / Volunteer Fire Dept (Rate VFD)</t>
  </si>
  <si>
    <t>Rate LE</t>
  </si>
  <si>
    <t>Rate TE</t>
  </si>
  <si>
    <t>Traffic Energy Service - Rate TE</t>
  </si>
  <si>
    <t>Lighting Energy Service - Rate LE</t>
  </si>
  <si>
    <t xml:space="preserve">Pole </t>
  </si>
  <si>
    <t>Attachments</t>
  </si>
  <si>
    <t>per attach</t>
  </si>
  <si>
    <t>Rate RS/VFD</t>
  </si>
  <si>
    <t>PS Secondary</t>
  </si>
  <si>
    <t>PS Primary</t>
  </si>
  <si>
    <t>TOD Secondary</t>
  </si>
  <si>
    <t>RTS</t>
  </si>
  <si>
    <t>FLS</t>
  </si>
  <si>
    <t>DSM Billings</t>
  </si>
  <si>
    <t>ECR Billings</t>
  </si>
  <si>
    <t>Revenue As Billed</t>
  </si>
  <si>
    <t>DSM / kWh</t>
  </si>
  <si>
    <t>FAC / kWh</t>
  </si>
  <si>
    <t>ECR / kWh</t>
  </si>
  <si>
    <t>TOTAL</t>
  </si>
  <si>
    <t>CSR</t>
  </si>
  <si>
    <t>Minimum</t>
  </si>
  <si>
    <t>Maximum</t>
  </si>
  <si>
    <t>Variance</t>
  </si>
  <si>
    <t>Billing Factors</t>
  </si>
  <si>
    <t>DSM does not apply to Industrial Customers</t>
  </si>
  <si>
    <t>Assumes peak demand at 50% of base based on actual FLS data</t>
  </si>
  <si>
    <t>Source: 12MonLights tab</t>
  </si>
  <si>
    <t>Assumes</t>
  </si>
  <si>
    <t xml:space="preserve"> 454 Cobra Head, 50000 Lumen Fixture Only</t>
  </si>
  <si>
    <t xml:space="preserve"> 455 Directional, 16000 Lumen  Fixture Only</t>
  </si>
  <si>
    <t xml:space="preserve"> 456 Directional, 50000 Lumen Fixture Only</t>
  </si>
  <si>
    <t xml:space="preserve"> 457 Open Bottom, 9500 Lumen Fixture Only</t>
  </si>
  <si>
    <t>470 Directional, 12000 Lumen Fixture Only</t>
  </si>
  <si>
    <t>473 Directional, 32000 Lumen Fixture Only</t>
  </si>
  <si>
    <t>476 Directional, 107800 Lumen Fixture Only</t>
  </si>
  <si>
    <t/>
  </si>
  <si>
    <t>412 Colonial, 4Sided, 5800 Lumen Smooth Pole</t>
  </si>
  <si>
    <t>413 Colonial, 4Sided, 9500 Lumen Smooth Pole</t>
  </si>
  <si>
    <t>444 Colonial, 4Sided, 16000 Lumen Smooth Pole</t>
  </si>
  <si>
    <t>415 Acorn, 5800 Lumen Smooth Pole</t>
  </si>
  <si>
    <t>416 Acorn, 9500 Lumen Smooth Pole</t>
  </si>
  <si>
    <t>445 Acorn, 16,000 Lumen Smooth Pole</t>
  </si>
  <si>
    <t>427 London, 5800 Lumen Fluted Pole</t>
  </si>
  <si>
    <t>429 London, 9500 Lumen Fluted Pole</t>
  </si>
  <si>
    <t>431 Victorian, 5800 Lumen Fluted Pole</t>
  </si>
  <si>
    <t>433 Victorian, 9500 Lumen Fluted Pole</t>
  </si>
  <si>
    <t>400 Dark Sky, 4000 Lumen</t>
  </si>
  <si>
    <t>401 Dark Sky, 9500 Lumen</t>
  </si>
  <si>
    <t>423 Cobra Head, 16000 Lumen Smooth Pole</t>
  </si>
  <si>
    <t>424 Cobra Head, 28500 Lumen Smooth Pole</t>
  </si>
  <si>
    <t>425 Cobra Head, 50000 Lumen Smooth Pole</t>
  </si>
  <si>
    <t xml:space="preserve">439 Contemporary, 16000 Lumen Fixture Only </t>
  </si>
  <si>
    <t xml:space="preserve">420 Contemporary, 16000 Lumen Fixture &amp; Pole </t>
  </si>
  <si>
    <t xml:space="preserve">440 Contemporary, 28500 Lumen Fixture Only </t>
  </si>
  <si>
    <t>421 Contemporary, 28500 Lumen Fixture &amp; Pole</t>
  </si>
  <si>
    <t xml:space="preserve">441 Contemporary, 50000 Lumen Fixture Only </t>
  </si>
  <si>
    <t>422 Contemporary, 50000 Lumen Fixture &amp; Pole</t>
  </si>
  <si>
    <t xml:space="preserve"> 479 Contemporary, 12000 Lumen Fixture Only</t>
  </si>
  <si>
    <t xml:space="preserve"> 480 Contemporary, 12000 Lumen Fixture &amp; Pole</t>
  </si>
  <si>
    <t xml:space="preserve"> 481 Contemporary, 32000 Lumen Fixture Only</t>
  </si>
  <si>
    <t xml:space="preserve"> 482 Contemporary, 32000 Lumen Fixture &amp; Pole</t>
  </si>
  <si>
    <t xml:space="preserve"> 483 Contemporary, 107800 Lumen Fixture Only</t>
  </si>
  <si>
    <t xml:space="preserve"> 484 Contemporary, 107800 Lumen Fixture &amp; Pole</t>
  </si>
  <si>
    <t xml:space="preserve"> 252 Cobra/Open Bottom 8000L Fixture Only</t>
  </si>
  <si>
    <t xml:space="preserve"> 203 Cobra Head 13000 Lumen Fixture Only</t>
  </si>
  <si>
    <t xml:space="preserve"> 204 Cobra Head 25000 Lumen Fixture Only</t>
  </si>
  <si>
    <t xml:space="preserve"> 210 Directional 60000 Lumen Fixture Only</t>
  </si>
  <si>
    <t xml:space="preserve"> 201 Open Bottom 4000 Lumen Fixture Only</t>
  </si>
  <si>
    <t>471 Directional, 12000 Lumen Fixture &amp; Wood Pole</t>
  </si>
  <si>
    <t>474 Directional, 32000 Lumen Fixture &amp; Wood Pole</t>
  </si>
  <si>
    <t>475 Directional, 32000 Lumen Fixture &amp; Metal Pole</t>
  </si>
  <si>
    <t>477 Directional,107800 Lumen Fixture &amp;                                                                                   Wood Pole</t>
  </si>
  <si>
    <t xml:space="preserve"> 275 Cobra/Contemporary 16000 Lumen </t>
  </si>
  <si>
    <t xml:space="preserve">                                               Fixture &amp; Smooth Pole</t>
  </si>
  <si>
    <t xml:space="preserve"> 266 Cobra/Contemporary 28500 Lumen </t>
  </si>
  <si>
    <t xml:space="preserve"> 267 Cobra/Contemporary 50000 Lumen </t>
  </si>
  <si>
    <t xml:space="preserve"> 276 Coach/Acorn 5800 Lumen </t>
  </si>
  <si>
    <t xml:space="preserve"> 274 Coach/Acorn 9500 Lumen </t>
  </si>
  <si>
    <t xml:space="preserve"> 277 Coach/Acorn 16000 Lumen </t>
  </si>
  <si>
    <t xml:space="preserve"> 279 Contemporary 120000 Lumen Fixture Only</t>
  </si>
  <si>
    <t xml:space="preserve"> 278 Contemporary 120000 Lumen </t>
  </si>
  <si>
    <t xml:space="preserve"> 417 Acorn 9500 Lumen Bronze Decorative Pole</t>
  </si>
  <si>
    <t xml:space="preserve"> 419 Acorn 16000 Lumen Bronze Decorative Pole</t>
  </si>
  <si>
    <t xml:space="preserve"> 280 Victorian 5800 Lumen Fixture Only</t>
  </si>
  <si>
    <t xml:space="preserve"> 281 Victorian 9500 Lumen Fixture Only</t>
  </si>
  <si>
    <t xml:space="preserve"> 282 London 5800 Lumen Fixture Only</t>
  </si>
  <si>
    <t xml:space="preserve"> 283 London 9500 Lumen Fixture Only</t>
  </si>
  <si>
    <t xml:space="preserve"> 426 London, 5800 Lumen Fixture &amp; Pole</t>
  </si>
  <si>
    <t xml:space="preserve"> 428 London, 9500 Lumen Fixture &amp; Pole</t>
  </si>
  <si>
    <t xml:space="preserve"> 430 Victorian, 5800 Lumen Fixture &amp; Pole</t>
  </si>
  <si>
    <t xml:space="preserve"> 432 Victorian, 9500 Lumen Fixture Pole</t>
  </si>
  <si>
    <t xml:space="preserve"> 318 Cobra Head, 8000 Lumen Fixture &amp; Pole</t>
  </si>
  <si>
    <t xml:space="preserve"> 314 Cobra Head, 13000 Lumen Fixture &amp; Pole</t>
  </si>
  <si>
    <t xml:space="preserve"> 315 Cobra Head, 25000 Lumen Fixture &amp; Pole</t>
  </si>
  <si>
    <t xml:space="preserve"> 206 Coach, 4000 Lumen Fixture &amp; Pole</t>
  </si>
  <si>
    <t xml:space="preserve"> 208 Coach, 8000 Lumen Fixture &amp; Pole</t>
  </si>
  <si>
    <t xml:space="preserve"> 349 Continental Jr, 1500 Lumen Fixture &amp; Pole</t>
  </si>
  <si>
    <t xml:space="preserve"> 348 Continental Jr, 6000 Lumen Fixture &amp; Pole</t>
  </si>
  <si>
    <t>LG&amp;E Rate</t>
  </si>
  <si>
    <t>LG&amp;E</t>
  </si>
  <si>
    <t>LGUM_201</t>
  </si>
  <si>
    <t>LGUM_203</t>
  </si>
  <si>
    <t>LGUM_204</t>
  </si>
  <si>
    <t>LGUM_206</t>
  </si>
  <si>
    <t>LGUM_207</t>
  </si>
  <si>
    <t>LGUM_208</t>
  </si>
  <si>
    <t>LGUM_209</t>
  </si>
  <si>
    <r>
      <t xml:space="preserve"> </t>
    </r>
    <r>
      <rPr>
        <sz val="11"/>
        <rFont val="Times New Roman"/>
        <family val="1"/>
      </rPr>
      <t>452 Cobra Head, 16000 Lumen Fixture Only</t>
    </r>
  </si>
  <si>
    <t>LGUM_210</t>
  </si>
  <si>
    <r>
      <t xml:space="preserve"> </t>
    </r>
    <r>
      <rPr>
        <sz val="11"/>
        <rFont val="Times New Roman"/>
        <family val="1"/>
      </rPr>
      <t>453 Cobra Head, 28500 Lumen Fixture Only</t>
    </r>
  </si>
  <si>
    <t>LGUM_252</t>
  </si>
  <si>
    <t>LGUM_266</t>
  </si>
  <si>
    <t>LGUM_267</t>
  </si>
  <si>
    <t>LGUM_274</t>
  </si>
  <si>
    <t>LGUM_275</t>
  </si>
  <si>
    <t>LGUM_276</t>
  </si>
  <si>
    <t>LGUM_277</t>
  </si>
  <si>
    <t>LGUM_278</t>
  </si>
  <si>
    <t>LGUM_279</t>
  </si>
  <si>
    <t>LGUM_280</t>
  </si>
  <si>
    <t>LGUM_281</t>
  </si>
  <si>
    <t>LGUM_282</t>
  </si>
  <si>
    <t>LGUM_283</t>
  </si>
  <si>
    <t>LGUM_314</t>
  </si>
  <si>
    <t>LGUM_315</t>
  </si>
  <si>
    <t>LGUM_318</t>
  </si>
  <si>
    <t>LGUM_348</t>
  </si>
  <si>
    <t>LGUM_349</t>
  </si>
  <si>
    <t>LGUM_400</t>
  </si>
  <si>
    <t>LGUM_401</t>
  </si>
  <si>
    <t>LGUM_412</t>
  </si>
  <si>
    <t>LGUM_413</t>
  </si>
  <si>
    <t>LGUM_415</t>
  </si>
  <si>
    <t>LGUM_416</t>
  </si>
  <si>
    <t>LGUM_417</t>
  </si>
  <si>
    <t>LGUM_419</t>
  </si>
  <si>
    <t>LGUM_420</t>
  </si>
  <si>
    <t>LGUM_421</t>
  </si>
  <si>
    <t>LGUM_422</t>
  </si>
  <si>
    <t>LGUM_423</t>
  </si>
  <si>
    <t>LGUM_424</t>
  </si>
  <si>
    <t>LGUM_425</t>
  </si>
  <si>
    <t>LGUM_426</t>
  </si>
  <si>
    <t>LGUM_427</t>
  </si>
  <si>
    <t>LGUM_428</t>
  </si>
  <si>
    <t>LGUM_429</t>
  </si>
  <si>
    <t>LGUM_430</t>
  </si>
  <si>
    <t>LGUM_431</t>
  </si>
  <si>
    <t>LGUM_432</t>
  </si>
  <si>
    <t>LGUM_433</t>
  </si>
  <si>
    <t>LGUM_440</t>
  </si>
  <si>
    <t>LGUM_441</t>
  </si>
  <si>
    <t>LGUM_452</t>
  </si>
  <si>
    <t>LGUM_453</t>
  </si>
  <si>
    <t>LGUM_454</t>
  </si>
  <si>
    <t>LGUM_456</t>
  </si>
  <si>
    <t>LGUM_458</t>
  </si>
  <si>
    <t>LGUM_470</t>
  </si>
  <si>
    <t>LGUM_471</t>
  </si>
  <si>
    <t>LGUM_473</t>
  </si>
  <si>
    <t>LGUM_476</t>
  </si>
  <si>
    <t>LGUM_477</t>
  </si>
  <si>
    <t>LGUM_480</t>
  </si>
  <si>
    <t>LGUM_481</t>
  </si>
  <si>
    <t>LGUM_482</t>
  </si>
  <si>
    <t>LGUM_483</t>
  </si>
  <si>
    <t>LGUM_484</t>
  </si>
  <si>
    <t>PSS</t>
  </si>
  <si>
    <t>PSP</t>
  </si>
  <si>
    <t>TODS</t>
  </si>
  <si>
    <t>GSS</t>
  </si>
  <si>
    <t>no DSM forecast revenues for RTS</t>
  </si>
  <si>
    <t>CURRENT -  based on Rate LEV</t>
  </si>
  <si>
    <t>based on Rate RS</t>
  </si>
  <si>
    <t>Power Service Secondary (Rate PSS)</t>
  </si>
  <si>
    <t>Power Service Primary (Rate PSP)</t>
  </si>
  <si>
    <t>Time-of-Day Secondary (Rate TODS)</t>
  </si>
  <si>
    <t>Retail Transmission Service (Rate RTS)</t>
  </si>
  <si>
    <t>Source:  Billing Determinants file</t>
  </si>
  <si>
    <t>Average Usage (kWh)</t>
  </si>
  <si>
    <t>ratio of usage: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</si>
  <si>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</si>
  <si>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</si>
  <si>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</si>
  <si>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</si>
  <si>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</si>
  <si>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</si>
  <si>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</si>
  <si>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Schedule Description:</t>
  </si>
  <si>
    <t>Schedule Number: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</si>
  <si>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</si>
  <si>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</si>
  <si>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</si>
  <si>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</si>
  <si>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</si>
  <si>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</si>
  <si>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</si>
  <si>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DATA: ____BASE PERIOD__X___FORECASTED PERIOD</t>
  </si>
  <si>
    <t>WORKPAPER REFERENCE NO(S):________</t>
  </si>
  <si>
    <t>WITNESS:</t>
  </si>
  <si>
    <t xml:space="preserve">WITNESS: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</si>
  <si>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</si>
  <si>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</si>
  <si>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</si>
  <si>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</si>
  <si>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</si>
  <si>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</si>
  <si>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</si>
  <si>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</si>
  <si>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</si>
  <si>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</si>
  <si>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Assumptions:</t>
  </si>
  <si>
    <t>Billing Factors calculated as a unit charge based on forecast period revenues and volumes</t>
  </si>
  <si>
    <t>Current and Proposed Bill calculation uses a blended rate of 5/12 of the summer rate plus 7/12 of the winter rate</t>
  </si>
  <si>
    <t>**No LG&amp;E customers on this rate schedule**</t>
  </si>
  <si>
    <t>Analysis assumes Peak Demand at 50% of base demand</t>
  </si>
  <si>
    <t>DSM does not apply to this rate schedule</t>
  </si>
  <si>
    <t>RS/VFD</t>
  </si>
  <si>
    <t>RTOD-E</t>
  </si>
  <si>
    <t>RTOD-D</t>
  </si>
  <si>
    <t>GS3P</t>
  </si>
  <si>
    <t>LS-RLS</t>
  </si>
  <si>
    <t>LE</t>
  </si>
  <si>
    <t>TE</t>
  </si>
  <si>
    <t xml:space="preserve">Monthly </t>
  </si>
  <si>
    <t>Billing Factors calculated as a unit charge based on forecast period revenues and volumes and assuming October hours of usage</t>
  </si>
  <si>
    <t>$/kWh</t>
  </si>
  <si>
    <t>Residential/VFD</t>
  </si>
  <si>
    <t xml:space="preserve">LE </t>
  </si>
  <si>
    <t>Blended Rates</t>
  </si>
  <si>
    <t>Using blended rate of GS-Single &amp; GS-Three Phase</t>
  </si>
  <si>
    <t>Calculations may vary from other schedules due to rounding</t>
  </si>
  <si>
    <t xml:space="preserve">Lighting Service - Rate LS </t>
  </si>
  <si>
    <t>477 Directional, 107800 Lumen Fixture &amp; Wood Pole</t>
  </si>
  <si>
    <t xml:space="preserve"> 209 Cobra Head 25000 Lumen Fixture Only</t>
  </si>
  <si>
    <t xml:space="preserve"> 207 Directional 25000 Lumen Fixture Only</t>
  </si>
  <si>
    <t>Base Rate</t>
  </si>
  <si>
    <t>(Rate RS)</t>
  </si>
  <si>
    <t>Fluctuating Load Service - Transmission - No LG&amp;E Customers on this rate schedule</t>
  </si>
  <si>
    <t>Fluctuating Load Service- Primary - No LG&amp;E Customers on this rate schedule</t>
  </si>
  <si>
    <t>For the 2016 Rate Case Filing</t>
  </si>
  <si>
    <t>TOD Primary</t>
  </si>
  <si>
    <t>TODP</t>
  </si>
  <si>
    <t>FAC+OSS Billings</t>
  </si>
  <si>
    <t>FAC+OSS / kWh</t>
  </si>
  <si>
    <t xml:space="preserve">Residential Time-of-Day Energy </t>
  </si>
  <si>
    <t xml:space="preserve">Residential Time-of-Day Demand </t>
  </si>
  <si>
    <t>LGUM_455</t>
  </si>
  <si>
    <t>LGUM_457</t>
  </si>
  <si>
    <t>Nov</t>
  </si>
  <si>
    <t xml:space="preserve">  Light Emitting Diode (LED)</t>
  </si>
  <si>
    <t xml:space="preserve">490 Cobra Head, 8,179 Lumen Fixture Only </t>
  </si>
  <si>
    <t xml:space="preserve">491 Cobra Head, 14,166 Lumen Fixture Only </t>
  </si>
  <si>
    <t xml:space="preserve">492 Cobra Head, 23,214 Lumen Fixture Only </t>
  </si>
  <si>
    <t>493 Open Bottom, 5,007 Lumen Fixture Only</t>
  </si>
  <si>
    <t>LGUM_490</t>
  </si>
  <si>
    <t>LGUM_491</t>
  </si>
  <si>
    <t>LGUM_492</t>
  </si>
  <si>
    <t>LGUM_493</t>
  </si>
  <si>
    <t xml:space="preserve">496 Cobra Head, 8,179 Lumen, Smooth Pole </t>
  </si>
  <si>
    <t xml:space="preserve">497 Cobra Head, 14,166 Lumen, Smooth Pole </t>
  </si>
  <si>
    <t xml:space="preserve">498 Cobra Head, 23,214 Lumen, Smooth Pole </t>
  </si>
  <si>
    <t>499 Open Bottom, 5,665 Lumen, Smooth Pole</t>
  </si>
  <si>
    <t xml:space="preserve">499 Cobra Head, 5,665 Lumen, Smooth Pole </t>
  </si>
  <si>
    <t>LGUM_496</t>
  </si>
  <si>
    <t>LGUM_497</t>
  </si>
  <si>
    <t>LGUM_498</t>
  </si>
  <si>
    <t>LGUM_499</t>
  </si>
  <si>
    <t xml:space="preserve">496 Cobra Head, 8,179 Lumen Smooth Pole </t>
  </si>
  <si>
    <t xml:space="preserve">497 Cobra Head, 14,166 Lumen Smooth Pole </t>
  </si>
  <si>
    <t xml:space="preserve">498 Cobra Head, 23,214 Lumen Smooth Pole </t>
  </si>
  <si>
    <t>499 Open Bottom, 5,665 Lumen Smooth Pole</t>
  </si>
  <si>
    <t>Source:  Schedule M-2.2&amp;2.3</t>
  </si>
  <si>
    <t>FAC+OSS</t>
  </si>
  <si>
    <t xml:space="preserve">* Transferred from Lighting Service - Rate LS </t>
  </si>
  <si>
    <t>N/A</t>
  </si>
  <si>
    <t>Other Attachment Charges:</t>
  </si>
  <si>
    <t>$  0.81 per year for each linear foot of duct.</t>
  </si>
  <si>
    <t xml:space="preserve">    Off-Peak</t>
  </si>
  <si>
    <t xml:space="preserve">    Redundant Capacity Rider</t>
  </si>
  <si>
    <t>Special Contract</t>
  </si>
  <si>
    <t>OSL</t>
  </si>
  <si>
    <t>EVC</t>
  </si>
  <si>
    <t>Electric Vehicle Charging Rate EVC</t>
  </si>
  <si>
    <t>Outdoor Sports Lighting Service Rate OSL - Primary</t>
  </si>
  <si>
    <t>Outdoor Sports Lighting Service Rate OSL - Secondary</t>
  </si>
  <si>
    <t>Pole and Structure Attachment Charges – Rate PSA</t>
  </si>
  <si>
    <t>OLS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</si>
  <si>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</si>
  <si>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</si>
  <si>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</si>
  <si>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</si>
  <si>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</si>
  <si>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</si>
  <si>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</si>
  <si>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</si>
  <si>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FROM MAY 1, 2019 TO APRIL 30, 2020</t>
  </si>
  <si>
    <t>FORECAST PERIOD FOR THE 12 MONTHS ENDED APRIL 30, 2020</t>
  </si>
  <si>
    <t>FOR THE 12 MONTHS ENDED APRIL 30, 2020</t>
  </si>
  <si>
    <t>Typical Bill Comparison under Present &amp; Proposed Rates</t>
  </si>
  <si>
    <t>SCHEDULE N</t>
  </si>
  <si>
    <t>CASE NO. 2018-00295</t>
  </si>
  <si>
    <t>MAY 1, 2019 TO APRIL 30, 2020</t>
  </si>
  <si>
    <t>WITNESS:   R. M. CONROY</t>
  </si>
  <si>
    <t>R. M. CONROY</t>
  </si>
  <si>
    <t>SC</t>
  </si>
  <si>
    <t>Business</t>
  </si>
  <si>
    <t>RTOD</t>
  </si>
  <si>
    <t>Rate OLS - Primary</t>
  </si>
  <si>
    <t>Rate OLS - Secondary</t>
  </si>
  <si>
    <t>Solar Capacity Charges</t>
  </si>
  <si>
    <t>Lighting Service</t>
  </si>
  <si>
    <t xml:space="preserve">Restricted Lighting Service </t>
  </si>
  <si>
    <t>moved to RLS</t>
  </si>
  <si>
    <t>LC1</t>
  </si>
  <si>
    <t>LF1</t>
  </si>
  <si>
    <t>LF2</t>
  </si>
  <si>
    <t>LF3</t>
  </si>
  <si>
    <t>LF4</t>
  </si>
  <si>
    <t>LGUM_LC1</t>
  </si>
  <si>
    <t>LGUM_LC2</t>
  </si>
  <si>
    <t>LGUM_LF1</t>
  </si>
  <si>
    <t>LGUM_LF2</t>
  </si>
  <si>
    <t>LGUM_LF3</t>
  </si>
  <si>
    <t>LGUM_LF4</t>
  </si>
  <si>
    <t>LC1 Cobra Head, 2500-4000 Lumen</t>
  </si>
  <si>
    <t>LF1 Directional Flood, 4500-6000 Lumen</t>
  </si>
  <si>
    <t>LF2 Directional Flood, 14000-17500 Lumen</t>
  </si>
  <si>
    <t>LF3 Directional Flood, 22000-28000 Lumen</t>
  </si>
  <si>
    <t>LF4 Directional Flood, 35000-50000 Lumen</t>
  </si>
  <si>
    <t>LC2</t>
  </si>
  <si>
    <t>LA1</t>
  </si>
  <si>
    <t>LN1</t>
  </si>
  <si>
    <t>LN2</t>
  </si>
  <si>
    <t>LN3</t>
  </si>
  <si>
    <t>LN4</t>
  </si>
  <si>
    <t>LN5</t>
  </si>
  <si>
    <t>LF5</t>
  </si>
  <si>
    <t>LF6</t>
  </si>
  <si>
    <t>LF7</t>
  </si>
  <si>
    <t>LF8</t>
  </si>
  <si>
    <t>LGUM_LA1</t>
  </si>
  <si>
    <t>LGUM_LN1</t>
  </si>
  <si>
    <t>LGUM_LN2</t>
  </si>
  <si>
    <t>LGUM_LN3</t>
  </si>
  <si>
    <t>LGUM_LN4</t>
  </si>
  <si>
    <t>LGUM_LN5</t>
  </si>
  <si>
    <t>LGUM_LF5</t>
  </si>
  <si>
    <t>LGUM_LF6</t>
  </si>
  <si>
    <t>LGUM_LF7</t>
  </si>
  <si>
    <t>LGUM_LF8</t>
  </si>
  <si>
    <t>LC2 Cobra Head, 2500-4000 Lumen</t>
  </si>
  <si>
    <t>LA1 Acorn, 4000-7000 Lumen</t>
  </si>
  <si>
    <t>LN1 Contemporary, 4000-7000 Lumen</t>
  </si>
  <si>
    <t>LN2 Contemporary, 8000-11000 Lumen</t>
  </si>
  <si>
    <t>LN3 Contemporary, 13500-16500 Lumen</t>
  </si>
  <si>
    <t>LN4 Contemporary, 21000-28000 Lumen</t>
  </si>
  <si>
    <t>LN5 Contemporary, 45000-50000 Lumen</t>
  </si>
  <si>
    <t>LF5 Directional Flood, 4500-6000 Lumen</t>
  </si>
  <si>
    <t>LF6 Directional Flood, 14000-17500 Lumen</t>
  </si>
  <si>
    <t>LF7 Directional Flood, 22000-28000 Lumen</t>
  </si>
  <si>
    <t>LF8 Directional Flood, 35000-50000 Lumen</t>
  </si>
  <si>
    <t>473 Directional, 32000 Lumen Fixture Only *</t>
  </si>
  <si>
    <t>412 Colonial, 4Sided, 5800 Lumen Smooth Pole *</t>
  </si>
  <si>
    <t>413 Colonial, 4Sided, 9500 Lumen Smooth Pole *</t>
  </si>
  <si>
    <t>444 Colonial, 4Sided, 16000 Lumen Smooth Pole *</t>
  </si>
  <si>
    <t>415 Acorn, 5800 Lumen Smooth Pole *</t>
  </si>
  <si>
    <t>416 Acorn, 9500 Lumen Smooth Pole *</t>
  </si>
  <si>
    <t>445 Acorn, 16,000 Lumen Smooth Pole *</t>
  </si>
  <si>
    <t>400 Dark Sky, 4000 Lumen *</t>
  </si>
  <si>
    <t>401 Dark Sky, 9500 Lumen *</t>
  </si>
  <si>
    <t>423 Cobra Head, 16000 Lumen Smooth Pole *</t>
  </si>
  <si>
    <t>424 Cobra Head, 28500 Lumen Smooth Pole *</t>
  </si>
  <si>
    <t>425 Cobra Head, 50000 Lumen Smooth Pole *</t>
  </si>
  <si>
    <t>420 Contemporary, 16000 Lumen Fixture &amp; Pole *</t>
  </si>
  <si>
    <t>439 Contemporary, 16000 Lumen Fixture Only *</t>
  </si>
  <si>
    <t>440 Contemporary, 28500 Lumen Fixture Only *</t>
  </si>
  <si>
    <t>421 Contemporary, 28500 Lumen Fixture &amp; Pole *</t>
  </si>
  <si>
    <t>441 Contemporary, 50000 Lumen Fixture Only *</t>
  </si>
  <si>
    <t>422 Contemporary, 50000 Lumen Fixture &amp; Pole *</t>
  </si>
  <si>
    <t>LGUM_PL1</t>
  </si>
  <si>
    <t>LGUM_PL2</t>
  </si>
  <si>
    <t>LGUM_PL3</t>
  </si>
  <si>
    <t>LGUM_PL4</t>
  </si>
  <si>
    <t>LGUM_PL5</t>
  </si>
  <si>
    <t>PL1</t>
  </si>
  <si>
    <t>PL2</t>
  </si>
  <si>
    <t>PL3</t>
  </si>
  <si>
    <t>PL4</t>
  </si>
  <si>
    <t>PL5</t>
  </si>
  <si>
    <t>PL1 Cobra</t>
  </si>
  <si>
    <t>PL2 Contemporary (Short)</t>
  </si>
  <si>
    <t>PL3 Contemporary (Tall)</t>
  </si>
  <si>
    <t>PL4 Post Top - Decorative Smooth</t>
  </si>
  <si>
    <t>PL5 Post Top - Historic Fluted</t>
  </si>
  <si>
    <t>Conversion Fee</t>
  </si>
  <si>
    <t>Poles</t>
  </si>
  <si>
    <t>NA</t>
  </si>
  <si>
    <t>CF</t>
  </si>
  <si>
    <t>using blended RS billing factors</t>
  </si>
  <si>
    <t>using RTS billing factors as proxy since currently there are no customers on this tariff</t>
  </si>
  <si>
    <t>Billing Factors calculated as a unit charge based on forecast period revenues and volumes (using RTS as proxy since no customers are currently on this rate schedule)</t>
  </si>
  <si>
    <t>per kW (Peak)</t>
  </si>
  <si>
    <t>per kW (Base)</t>
  </si>
  <si>
    <t>Current and Proposed Bill calculation uses a blended rate of Base and Peak demand from actual billings</t>
  </si>
  <si>
    <t>Billing Factors calculated as a unit charge based on forecast period revenues and volumes (using factors from OSL-S since no customers are currently on rate schedule)</t>
  </si>
  <si>
    <t>using OSLS billing factors since no customers are currently on rate schedule</t>
  </si>
  <si>
    <t>per hour</t>
  </si>
  <si>
    <t>Hours</t>
  </si>
  <si>
    <t>Wood Pole Installed before 3/1/2010</t>
  </si>
  <si>
    <t>Wood Pole Installed before 7/1/2004</t>
  </si>
  <si>
    <t>958 Wood Pole Installed before 3/1/2010</t>
  </si>
  <si>
    <t>900 Wood Pole Installed before 7/1/2004</t>
  </si>
  <si>
    <t xml:space="preserve"> Poles</t>
  </si>
  <si>
    <t>Smooth 10' Pole</t>
  </si>
  <si>
    <t>Fluted 10' Pole</t>
  </si>
  <si>
    <t>901 Smooth 10' Pole</t>
  </si>
  <si>
    <t>902 Fluted 10' Pole</t>
  </si>
  <si>
    <t xml:space="preserve"> Victorian/London Bases</t>
  </si>
  <si>
    <t>Old Town Base</t>
  </si>
  <si>
    <t>Chesapeake Base</t>
  </si>
  <si>
    <t>Victorian/London Bases (Moved from 35.1)</t>
  </si>
  <si>
    <t>950 Old Town Base</t>
  </si>
  <si>
    <t>951 Chesapeake Base</t>
  </si>
  <si>
    <t>956 Victorian/London Bases (Moved from 35.1)</t>
  </si>
  <si>
    <t>LE_958Pole</t>
  </si>
  <si>
    <t>LE_900Pole</t>
  </si>
  <si>
    <t>Poles/Bases</t>
  </si>
  <si>
    <t>LE_902Pole</t>
  </si>
  <si>
    <t>LE_901Pole</t>
  </si>
  <si>
    <t>LE_950Base</t>
  </si>
  <si>
    <t>LE_951Base</t>
  </si>
  <si>
    <t>LE_956Base</t>
  </si>
  <si>
    <t>Present Rate</t>
  </si>
  <si>
    <t>Time-of-Day Primary (Rate TODP)</t>
  </si>
  <si>
    <t>PSA</t>
  </si>
  <si>
    <t>Rate PSA</t>
  </si>
  <si>
    <t>274 Coach/Acorn 9500 Lumen Fixture &amp; Smooth Pole</t>
  </si>
  <si>
    <t>277 Coach/Acorn 16000 Lumen Fixture &amp; Smooth Pole</t>
  </si>
  <si>
    <t>274 Coach/Acorn 9500 Lumen (Fixture &amp; Smooth Pole)</t>
  </si>
  <si>
    <t>277 Coach/Acorn 16000 Lumen (Fixture &amp; Smooth Pole)</t>
  </si>
  <si>
    <t>252 Cobra/Open Bottom 8000L Fixture Only</t>
  </si>
  <si>
    <t>203 Cobra Head 13000 Lumen Fixture Only</t>
  </si>
  <si>
    <t>204 Cobra Head 25000 Lumen Fixture Only</t>
  </si>
  <si>
    <t>209 Cobra Head 60000 Lumen Fixture Only</t>
  </si>
  <si>
    <t>207 Directional 25000 Lumen Fixture Only</t>
  </si>
  <si>
    <t>210 Directional 60000 Lumen Fixture Only</t>
  </si>
  <si>
    <t>201 Open Bottom 4000 Lumen Fixture Only</t>
  </si>
  <si>
    <t>209 Cobra Head 25000 Lumen Fixture Only</t>
  </si>
  <si>
    <t>452 Cobra Head, 16000 Lumen Fixture Only</t>
  </si>
  <si>
    <t>453 Cobra Head, 28500 Lumen Fixture Only</t>
  </si>
  <si>
    <t>454 Cobra Head, 50000 Lumen Fixture Only</t>
  </si>
  <si>
    <t>455 Directional, 16000 Lumen  Fixture Only</t>
  </si>
  <si>
    <t>456 Directional, 50000 Lumen Fixture Only</t>
  </si>
  <si>
    <t>457 Open Bottom, 9500 Lumen Fixture Only</t>
  </si>
  <si>
    <t>275 Cobra/Contemporary 16000 Lumen Fixture &amp; Smooth Pole</t>
  </si>
  <si>
    <t>266 Cobra/Contemporary 28500 Lumen Fixture &amp; Smooth Pole</t>
  </si>
  <si>
    <t>267 Cobra/Contemporary 50000 Lumen Fixture &amp; Smooth Pole</t>
  </si>
  <si>
    <t>276 Coach/Acorn 5800 Lumen Fixture &amp; Smooth Pole</t>
  </si>
  <si>
    <t>279 Contemporary 120000 Lumen Fixture Only</t>
  </si>
  <si>
    <t>278 Contemporary 120000 Lumen Fixture &amp; Smooth Pole</t>
  </si>
  <si>
    <t>417 Acorn 9500 Lumen Bronze Decorative Pole</t>
  </si>
  <si>
    <t>419 Acorn 16000 Lumen Bronze Decorative Pole</t>
  </si>
  <si>
    <t>280 Victorian 5800 Lumen Fixture Only</t>
  </si>
  <si>
    <t>281 Victorian 9500 Lumen Fixture Only</t>
  </si>
  <si>
    <t>282 London 5800 Lumen Fixture Only</t>
  </si>
  <si>
    <t>283 London 9500 Lumen Fixture Only</t>
  </si>
  <si>
    <t>426 London, 5800 Lumen Fixture &amp; Pole</t>
  </si>
  <si>
    <t>428 London, 9500 Lumen Fixture &amp; Pole</t>
  </si>
  <si>
    <t>430 Victorian, 5800 Lumen Fixture &amp; Pole</t>
  </si>
  <si>
    <t>432 Victorian, 9500 Lumen Fixture Pole</t>
  </si>
  <si>
    <t>318 Cobra Head, 8000 Lumen Fixture &amp; Pole</t>
  </si>
  <si>
    <t>314 Cobra Head, 13000 Lumen Fixture &amp; Pole</t>
  </si>
  <si>
    <t>315 Cobra Head, 25000 Lumen Fixture &amp; Pole</t>
  </si>
  <si>
    <t>206 Coach, 4000 Lumen Fixture &amp; Pole</t>
  </si>
  <si>
    <t>208 Coach, 8000 Lumen Fixture &amp; Pole</t>
  </si>
  <si>
    <t>479 Contemporary, 12000 Lumen Fixture Only</t>
  </si>
  <si>
    <t>480 Contemporary, 12000 Lumen Fixture &amp; Pole</t>
  </si>
  <si>
    <t>483 Contemporary, 107800 Lumen Fixture Only</t>
  </si>
  <si>
    <t>484 Contemporary, 107800 Lumen Fixture &amp; Pole</t>
  </si>
  <si>
    <t>481 Contemporary, 32000 Lumen Fixture Only</t>
  </si>
  <si>
    <t>482 Contemporary, 32000 Lumen Fixture &amp; Pole</t>
  </si>
  <si>
    <t>349 Continental Jr, 1500 Lumen Fixture &amp; Pole</t>
  </si>
  <si>
    <t>348 Continental Jr, 6000 Lumen Fixture &amp; Pole</t>
  </si>
  <si>
    <t>481 Contemporary, 32000 Lumen Fixture Only *</t>
  </si>
  <si>
    <t>482 Contemporary, 32000 Lumen Fixture &amp; Pole *</t>
  </si>
  <si>
    <t>452 Cobra Head, 16000 Lumen Fixture Only *</t>
  </si>
  <si>
    <t>453 Cobra Head, 28500 Lumen Fixture Only *</t>
  </si>
  <si>
    <t>454 Cobra Head, 50000 Lumen Fixture Only *</t>
  </si>
  <si>
    <t>455 Directional, 16000 Lumen  Fixture Only *</t>
  </si>
  <si>
    <t>456 Directional, 50000 Lumen Fixture Only *</t>
  </si>
  <si>
    <t>457 Open Bottom, 9500 Lumen Fixture Only *</t>
  </si>
  <si>
    <t>275 Cobra/Contemporary 16000 Lumen (Fixture &amp; Smooth Pole)</t>
  </si>
  <si>
    <t>266 Cobra/Contemporary 28500 Lumen (Fixture &amp; Smooth Pole)</t>
  </si>
  <si>
    <t>267 Cobra/Contemporary 50000 Lumen (Fixture &amp; Smooth Pole)</t>
  </si>
  <si>
    <t>276 Coach/Acorn 5800 Lumen (Fixture &amp; Smooth Pole)</t>
  </si>
  <si>
    <t>278 Contemporary 120000 Lumen (Fixture &amp; Smooth Pole)</t>
  </si>
  <si>
    <t>$36.25 per year for each Wireless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</si>
</sst>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000_);\(&quot;$&quot;#,##0.00000\)"/>
    <numFmt numFmtId="167" formatCode="[$-409]mmm\-yy;@"/>
    <numFmt numFmtId="168" formatCode="0.0%"/>
    <numFmt numFmtId="169" formatCode="_(* #,##0.000_);_(* \(#,##0.000\);_(* &quot;-&quot;??_);_(@_)"/>
    <numFmt numFmtId="170" formatCode="_(&quot;$&quot;* #,##0_);_(&quot;$&quot;* \(#,##0\);_(&quot;$&quot;* &quot;-&quot;??_);_(@_)"/>
    <numFmt numFmtId="171" formatCode="_(&quot;$&quot;* #,##0.0000000_);_(&quot;$&quot;* \(#,##0.0000000\);_(&quot;$&quot;* &quot;-&quot;??_);_(@_)"/>
    <numFmt numFmtId="172" formatCode="0.0000%"/>
    <numFmt numFmtId="173" formatCode="0.000"/>
    <numFmt numFmtId="174" formatCode="0.00000000"/>
    <numFmt numFmtId="175" formatCode="#,##0.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/>
      <sz val="12"/>
      <name val="Times New Roman"/>
      <family val="1"/>
    </font>
    <font>
      <sz val="8"/>
      <color rgb="FF00000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u/>
      <sz val="11"/>
      <name val="Times New Roman"/>
      <family val="1"/>
    </font>
    <font>
      <sz val="11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1" fontId="17" fillId="0" borderId="0"/>
    <xf numFmtId="0" fontId="2" fillId="0" borderId="0"/>
    <xf numFmtId="0" fontId="3" fillId="0" borderId="0"/>
    <xf numFmtId="0" fontId="3" fillId="0" borderId="0"/>
    <xf numFmtId="0" fontId="23" fillId="0" borderId="0"/>
    <xf numFmtId="9" fontId="2" fillId="0" borderId="0" applyFont="0" applyFill="0" applyBorder="0" applyAlignment="0" applyProtection="0"/>
    <xf numFmtId="0" fontId="25" fillId="0" borderId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446">
    <xf numFmtId="0" fontId="0" fillId="0" borderId="0" xfId="0"/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textRotation="180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0" fontId="0" fillId="0" borderId="0" xfId="2" applyNumberFormat="1" applyFont="1"/>
    <xf numFmtId="10" fontId="3" fillId="0" borderId="0" xfId="2" applyNumberFormat="1"/>
    <xf numFmtId="0" fontId="0" fillId="0" borderId="0" xfId="0" applyBorder="1"/>
    <xf numFmtId="164" fontId="0" fillId="0" borderId="0" xfId="0" applyNumberFormat="1" applyBorder="1"/>
    <xf numFmtId="4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Fill="1"/>
    <xf numFmtId="10" fontId="3" fillId="0" borderId="0" xfId="2" applyNumberFormat="1" applyAlignment="1">
      <alignment horizontal="center"/>
    </xf>
    <xf numFmtId="7" fontId="0" fillId="0" borderId="0" xfId="0" applyNumberFormat="1" applyAlignment="1">
      <alignment horizontal="center"/>
    </xf>
    <xf numFmtId="7" fontId="0" fillId="0" borderId="0" xfId="0" applyNumberFormat="1"/>
    <xf numFmtId="7" fontId="4" fillId="0" borderId="0" xfId="0" applyNumberFormat="1" applyFont="1" applyAlignment="1">
      <alignment horizontal="center"/>
    </xf>
    <xf numFmtId="7" fontId="4" fillId="0" borderId="0" xfId="0" quotePrefix="1" applyNumberFormat="1" applyFont="1" applyAlignment="1">
      <alignment horizontal="center"/>
    </xf>
    <xf numFmtId="7" fontId="4" fillId="0" borderId="0" xfId="0" applyNumberFormat="1" applyFont="1"/>
    <xf numFmtId="7" fontId="0" fillId="0" borderId="0" xfId="0" applyNumberFormat="1" applyBorder="1"/>
    <xf numFmtId="7" fontId="0" fillId="0" borderId="0" xfId="0" applyNumberFormat="1" applyFill="1"/>
    <xf numFmtId="0" fontId="4" fillId="0" borderId="0" xfId="0" quotePrefix="1" applyFont="1" applyAlignment="1">
      <alignment horizontal="center"/>
    </xf>
    <xf numFmtId="10" fontId="0" fillId="0" borderId="0" xfId="2" applyNumberFormat="1" applyFont="1" applyBorder="1"/>
    <xf numFmtId="44" fontId="6" fillId="0" borderId="0" xfId="3" applyNumberFormat="1"/>
    <xf numFmtId="44" fontId="0" fillId="0" borderId="0" xfId="0" applyNumberFormat="1"/>
    <xf numFmtId="0" fontId="3" fillId="0" borderId="0" xfId="0" applyFont="1"/>
    <xf numFmtId="164" fontId="3" fillId="0" borderId="0" xfId="2" applyNumberFormat="1"/>
    <xf numFmtId="165" fontId="4" fillId="0" borderId="0" xfId="0" applyNumberFormat="1" applyFont="1"/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3" xfId="0" applyFont="1" applyBorder="1" applyAlignment="1"/>
    <xf numFmtId="167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7" fontId="4" fillId="0" borderId="0" xfId="0" quotePrefix="1" applyNumberFormat="1" applyFont="1" applyAlignment="1">
      <alignment horizontal="center" wrapText="1"/>
    </xf>
    <xf numFmtId="0" fontId="4" fillId="0" borderId="3" xfId="0" quotePrefix="1" applyFon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/>
    <xf numFmtId="0" fontId="4" fillId="0" borderId="0" xfId="0" quotePrefix="1" applyFont="1" applyBorder="1" applyAlignment="1">
      <alignment horizontal="center"/>
    </xf>
    <xf numFmtId="0" fontId="0" fillId="0" borderId="0" xfId="0" quotePrefix="1" applyAlignment="1">
      <alignment horizontal="left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  <xf numFmtId="0" fontId="0" fillId="0" borderId="0" xfId="0" applyAlignment="1"/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3" fontId="0" fillId="0" borderId="0" xfId="0" applyNumberFormat="1" applyFill="1"/>
    <xf numFmtId="0" fontId="4" fillId="0" borderId="0" xfId="0" applyFont="1" applyFill="1"/>
    <xf numFmtId="164" fontId="0" fillId="0" borderId="0" xfId="0" applyNumberForma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3" fillId="0" borderId="0" xfId="0" applyFont="1" applyFill="1"/>
    <xf numFmtId="44" fontId="0" fillId="0" borderId="0" xfId="0" applyNumberFormat="1" applyFill="1"/>
    <xf numFmtId="168" fontId="0" fillId="0" borderId="0" xfId="2" applyNumberFormat="1" applyFont="1" applyFill="1" applyAlignment="1">
      <alignment horizont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center"/>
    </xf>
    <xf numFmtId="8" fontId="4" fillId="0" borderId="0" xfId="0" quotePrefix="1" applyNumberFormat="1" applyFont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3" xfId="0" quotePrefix="1" applyFont="1" applyBorder="1" applyAlignment="1">
      <alignment horizontal="left"/>
    </xf>
    <xf numFmtId="170" fontId="0" fillId="0" borderId="0" xfId="0" applyNumberFormat="1"/>
    <xf numFmtId="0" fontId="3" fillId="0" borderId="0" xfId="0" applyFont="1" applyFill="1" applyAlignment="1">
      <alignment horizontal="right"/>
    </xf>
    <xf numFmtId="0" fontId="4" fillId="0" borderId="3" xfId="0" applyFont="1" applyFill="1" applyBorder="1" applyAlignment="1"/>
    <xf numFmtId="165" fontId="4" fillId="0" borderId="0" xfId="0" applyNumberFormat="1" applyFont="1" applyFill="1"/>
    <xf numFmtId="10" fontId="0" fillId="0" borderId="0" xfId="2" applyNumberFormat="1" applyFont="1" applyFill="1"/>
    <xf numFmtId="164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  <xf numFmtId="168" fontId="0" fillId="0" borderId="1" xfId="2" applyNumberFormat="1" applyFont="1" applyFill="1" applyBorder="1" applyAlignment="1">
      <alignment horizontal="center"/>
    </xf>
    <xf numFmtId="171" fontId="0" fillId="0" borderId="0" xfId="0" applyNumberFormat="1"/>
    <xf numFmtId="170" fontId="0" fillId="0" borderId="0" xfId="0" applyNumberFormat="1" applyFill="1"/>
    <xf numFmtId="37" fontId="0" fillId="0" borderId="0" xfId="1" applyNumberFormat="1" applyFont="1" applyFill="1"/>
    <xf numFmtId="171" fontId="0" fillId="0" borderId="0" xfId="0" applyNumberFormat="1" applyFill="1"/>
    <xf numFmtId="170" fontId="4" fillId="0" borderId="0" xfId="0" applyNumberFormat="1" applyFont="1"/>
    <xf numFmtId="0" fontId="12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/>
    </xf>
    <xf numFmtId="0" fontId="20" fillId="0" borderId="3" xfId="0" applyFont="1" applyBorder="1" applyAlignment="1">
      <alignment horizontal="center"/>
    </xf>
    <xf numFmtId="165" fontId="20" fillId="0" borderId="0" xfId="0" applyNumberFormat="1" applyFont="1"/>
    <xf numFmtId="0" fontId="20" fillId="0" borderId="0" xfId="0" applyFont="1" applyAlignment="1">
      <alignment horizontal="center"/>
    </xf>
    <xf numFmtId="0" fontId="4" fillId="0" borderId="3" xfId="0" applyFont="1" applyFill="1" applyBorder="1"/>
    <xf numFmtId="0" fontId="4" fillId="2" borderId="0" xfId="0" applyFont="1" applyFill="1"/>
    <xf numFmtId="0" fontId="0" fillId="2" borderId="0" xfId="0" applyFill="1"/>
    <xf numFmtId="168" fontId="0" fillId="0" borderId="3" xfId="2" applyNumberFormat="1" applyFont="1" applyBorder="1"/>
    <xf numFmtId="168" fontId="0" fillId="0" borderId="0" xfId="0" applyNumberFormat="1"/>
    <xf numFmtId="0" fontId="0" fillId="0" borderId="0" xfId="0" quotePrefix="1" applyFill="1" applyAlignment="1">
      <alignment horizontal="left"/>
    </xf>
    <xf numFmtId="7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9" fontId="0" fillId="0" borderId="0" xfId="0" applyNumberFormat="1" applyFill="1"/>
    <xf numFmtId="10" fontId="3" fillId="0" borderId="0" xfId="2" applyNumberFormat="1" applyFill="1" applyAlignment="1">
      <alignment horizontal="center"/>
    </xf>
    <xf numFmtId="164" fontId="3" fillId="0" borderId="0" xfId="2" applyNumberFormat="1" applyFill="1"/>
    <xf numFmtId="4" fontId="0" fillId="0" borderId="0" xfId="0" applyNumberFormat="1" applyFill="1"/>
    <xf numFmtId="10" fontId="3" fillId="0" borderId="0" xfId="2" applyNumberFormat="1" applyFill="1"/>
    <xf numFmtId="0" fontId="0" fillId="0" borderId="0" xfId="0" applyFill="1" applyAlignment="1">
      <alignment textRotation="180"/>
    </xf>
    <xf numFmtId="14" fontId="3" fillId="0" borderId="0" xfId="6" quotePrefix="1" applyNumberFormat="1" applyFont="1" applyAlignment="1">
      <alignment horizontal="left"/>
    </xf>
    <xf numFmtId="0" fontId="2" fillId="0" borderId="0" xfId="5"/>
    <xf numFmtId="0" fontId="3" fillId="0" borderId="0" xfId="6" applyFont="1"/>
    <xf numFmtId="0" fontId="4" fillId="0" borderId="3" xfId="6" applyFont="1" applyBorder="1"/>
    <xf numFmtId="49" fontId="3" fillId="0" borderId="0" xfId="6" applyNumberFormat="1" applyFont="1" applyAlignment="1">
      <alignment horizontal="left"/>
    </xf>
    <xf numFmtId="0" fontId="22" fillId="0" borderId="0" xfId="6" applyFont="1"/>
    <xf numFmtId="0" fontId="3" fillId="0" borderId="0" xfId="6" quotePrefix="1" applyFont="1" applyAlignment="1">
      <alignment horizontal="left"/>
    </xf>
    <xf numFmtId="0" fontId="3" fillId="0" borderId="0" xfId="7"/>
    <xf numFmtId="0" fontId="0" fillId="0" borderId="3" xfId="0" applyFill="1" applyBorder="1"/>
    <xf numFmtId="0" fontId="0" fillId="0" borderId="0" xfId="0" applyAlignment="1">
      <alignment horizontal="right"/>
    </xf>
    <xf numFmtId="167" fontId="4" fillId="0" borderId="0" xfId="5" quotePrefix="1" applyNumberFormat="1" applyFont="1" applyFill="1" applyBorder="1" applyAlignment="1">
      <alignment horizontal="center" wrapText="1"/>
    </xf>
    <xf numFmtId="0" fontId="24" fillId="0" borderId="0" xfId="5" applyFont="1" applyFill="1" applyBorder="1"/>
    <xf numFmtId="167" fontId="4" fillId="0" borderId="0" xfId="5" applyNumberFormat="1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167" fontId="4" fillId="0" borderId="0" xfId="5" quotePrefix="1" applyNumberFormat="1" applyFont="1" applyFill="1" applyAlignment="1">
      <alignment horizontal="center" wrapText="1"/>
    </xf>
    <xf numFmtId="0" fontId="24" fillId="0" borderId="0" xfId="5" applyFont="1" applyFill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167" fontId="4" fillId="0" borderId="0" xfId="5" quotePrefix="1" applyNumberFormat="1" applyFont="1" applyFill="1" applyAlignment="1">
      <alignment horizontal="center" wrapText="1"/>
    </xf>
    <xf numFmtId="0" fontId="24" fillId="0" borderId="0" xfId="5" applyFont="1" applyFill="1"/>
    <xf numFmtId="0" fontId="4" fillId="0" borderId="0" xfId="0" applyFont="1" applyBorder="1" applyAlignment="1">
      <alignment horizontal="center"/>
    </xf>
    <xf numFmtId="0" fontId="3" fillId="0" borderId="0" xfId="0" quotePrefix="1" applyFont="1" applyFill="1" applyAlignment="1">
      <alignment horizontal="left" indent="1"/>
    </xf>
    <xf numFmtId="0" fontId="3" fillId="0" borderId="0" xfId="0" quotePrefix="1" applyFont="1" applyAlignment="1">
      <alignment horizontal="left" indent="1"/>
    </xf>
    <xf numFmtId="0" fontId="24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4" fillId="0" borderId="0" xfId="0" applyFont="1" applyFill="1" applyAlignment="1"/>
    <xf numFmtId="0" fontId="4" fillId="0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20" xfId="0" applyFont="1" applyFill="1" applyBorder="1"/>
    <xf numFmtId="0" fontId="8" fillId="0" borderId="0" xfId="0" quotePrefix="1" applyFont="1" applyFill="1" applyAlignment="1">
      <alignment horizontal="left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/>
    <xf numFmtId="8" fontId="3" fillId="0" borderId="0" xfId="0" applyNumberFormat="1" applyFont="1" applyFill="1"/>
    <xf numFmtId="168" fontId="3" fillId="0" borderId="0" xfId="2" applyNumberFormat="1" applyFont="1" applyFill="1"/>
    <xf numFmtId="166" fontId="3" fillId="0" borderId="0" xfId="0" applyNumberFormat="1" applyFont="1" applyFill="1"/>
    <xf numFmtId="7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right" vertical="top"/>
    </xf>
    <xf numFmtId="8" fontId="3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/>
    <xf numFmtId="4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/>
    <xf numFmtId="44" fontId="3" fillId="0" borderId="0" xfId="2" applyNumberFormat="1" applyFont="1" applyFill="1"/>
    <xf numFmtId="0" fontId="25" fillId="0" borderId="0" xfId="10"/>
    <xf numFmtId="0" fontId="4" fillId="0" borderId="3" xfId="0" quotePrefix="1" applyFont="1" applyBorder="1" applyAlignment="1">
      <alignment horizontal="center"/>
    </xf>
    <xf numFmtId="165" fontId="3" fillId="0" borderId="0" xfId="0" applyNumberFormat="1" applyFont="1" applyFill="1"/>
    <xf numFmtId="170" fontId="3" fillId="0" borderId="0" xfId="0" applyNumberFormat="1" applyFont="1" applyAlignment="1">
      <alignment horizontal="center"/>
    </xf>
    <xf numFmtId="37" fontId="0" fillId="0" borderId="0" xfId="0" applyNumberFormat="1"/>
    <xf numFmtId="0" fontId="0" fillId="0" borderId="0" xfId="0" applyFill="1" applyAlignment="1">
      <alignment horizontal="center"/>
    </xf>
    <xf numFmtId="172" fontId="0" fillId="0" borderId="0" xfId="2" applyNumberFormat="1" applyFont="1"/>
    <xf numFmtId="171" fontId="0" fillId="0" borderId="3" xfId="0" applyNumberFormat="1" applyBorder="1"/>
    <xf numFmtId="0" fontId="3" fillId="0" borderId="0" xfId="0" applyFont="1" applyFill="1" applyBorder="1" applyAlignment="1">
      <alignment vertical="center" wrapText="1"/>
    </xf>
    <xf numFmtId="0" fontId="1" fillId="0" borderId="0" xfId="5" applyFont="1"/>
    <xf numFmtId="0" fontId="3" fillId="0" borderId="0" xfId="7" quotePrefix="1" applyAlignment="1">
      <alignment horizontal="left"/>
    </xf>
    <xf numFmtId="0" fontId="3" fillId="0" borderId="0" xfId="0" applyFont="1" applyFill="1" applyBorder="1" applyAlignment="1">
      <alignment horizontal="center"/>
    </xf>
    <xf numFmtId="168" fontId="3" fillId="0" borderId="0" xfId="2" applyNumberFormat="1" applyFont="1" applyFill="1" applyBorder="1"/>
    <xf numFmtId="8" fontId="3" fillId="0" borderId="0" xfId="0" applyNumberFormat="1" applyFont="1" applyFill="1" applyBorder="1"/>
    <xf numFmtId="7" fontId="3" fillId="0" borderId="0" xfId="0" applyNumberFormat="1" applyFont="1" applyFill="1" applyBorder="1"/>
    <xf numFmtId="0" fontId="24" fillId="0" borderId="0" xfId="0" quotePrefix="1" applyFont="1" applyAlignment="1">
      <alignment horizontal="left"/>
    </xf>
    <xf numFmtId="0" fontId="3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6" fillId="0" borderId="0" xfId="5" applyFont="1" applyFill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3" xfId="5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quotePrefix="1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8" fontId="4" fillId="0" borderId="0" xfId="2" applyNumberFormat="1" applyFont="1" applyFill="1"/>
    <xf numFmtId="168" fontId="4" fillId="0" borderId="0" xfId="2" applyNumberFormat="1" applyFont="1" applyFill="1" applyAlignment="1">
      <alignment horizontal="right"/>
    </xf>
    <xf numFmtId="0" fontId="15" fillId="0" borderId="0" xfId="0" applyFont="1" applyFill="1"/>
    <xf numFmtId="0" fontId="16" fillId="0" borderId="0" xfId="0" applyFont="1" applyFill="1"/>
    <xf numFmtId="0" fontId="4" fillId="0" borderId="3" xfId="0" quotePrefix="1" applyFont="1" applyFill="1" applyBorder="1" applyAlignment="1">
      <alignment horizontal="left"/>
    </xf>
    <xf numFmtId="0" fontId="15" fillId="0" borderId="0" xfId="0" applyFont="1" applyFill="1" applyBorder="1"/>
    <xf numFmtId="0" fontId="4" fillId="0" borderId="0" xfId="0" applyFont="1" applyBorder="1"/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4" fillId="0" borderId="0" xfId="0" quotePrefix="1" applyFont="1" applyBorder="1" applyAlignment="1">
      <alignment horizontal="left"/>
    </xf>
    <xf numFmtId="44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0" fontId="8" fillId="0" borderId="0" xfId="0" quotePrefix="1" applyFont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167" fontId="4" fillId="0" borderId="3" xfId="5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/>
    <xf numFmtId="44" fontId="0" fillId="0" borderId="0" xfId="0" applyNumberFormat="1" applyBorder="1"/>
    <xf numFmtId="168" fontId="0" fillId="0" borderId="0" xfId="2" applyNumberFormat="1" applyFont="1" applyBorder="1" applyAlignment="1">
      <alignment horizontal="center"/>
    </xf>
    <xf numFmtId="44" fontId="0" fillId="0" borderId="0" xfId="0" applyNumberFormat="1" applyFill="1" applyBorder="1"/>
    <xf numFmtId="0" fontId="4" fillId="0" borderId="3" xfId="5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9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2" xfId="0" quotePrefix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8" fontId="4" fillId="0" borderId="0" xfId="0" applyNumberFormat="1" applyFont="1" applyFill="1"/>
    <xf numFmtId="7" fontId="4" fillId="0" borderId="0" xfId="0" applyNumberFormat="1" applyFont="1" applyFill="1"/>
    <xf numFmtId="0" fontId="4" fillId="0" borderId="0" xfId="0" quotePrefix="1" applyFont="1" applyFill="1" applyBorder="1" applyAlignment="1">
      <alignment horizontal="left"/>
    </xf>
    <xf numFmtId="168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justify" vertical="center"/>
    </xf>
    <xf numFmtId="4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8" fontId="4" fillId="0" borderId="0" xfId="0" applyNumberFormat="1" applyFont="1" applyFill="1" applyBorder="1"/>
    <xf numFmtId="168" fontId="4" fillId="0" borderId="0" xfId="2" applyNumberFormat="1" applyFont="1" applyFill="1" applyBorder="1"/>
    <xf numFmtId="0" fontId="4" fillId="0" borderId="0" xfId="0" applyFont="1" applyFill="1" applyBorder="1" applyAlignment="1"/>
    <xf numFmtId="168" fontId="4" fillId="0" borderId="0" xfId="2" applyNumberFormat="1" applyFont="1" applyFill="1" applyBorder="1" applyAlignment="1">
      <alignment horizontal="right"/>
    </xf>
    <xf numFmtId="7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vertical="center"/>
    </xf>
    <xf numFmtId="168" fontId="0" fillId="3" borderId="0" xfId="0" applyNumberFormat="1" applyFill="1"/>
    <xf numFmtId="164" fontId="0" fillId="3" borderId="0" xfId="0" applyNumberFormat="1" applyFill="1"/>
    <xf numFmtId="0" fontId="4" fillId="0" borderId="0" xfId="5" applyFont="1" applyFill="1" applyBorder="1" applyAlignment="1">
      <alignment horizontal="center"/>
    </xf>
    <xf numFmtId="8" fontId="4" fillId="3" borderId="0" xfId="0" quotePrefix="1" applyNumberFormat="1" applyFont="1" applyFill="1" applyAlignment="1">
      <alignment horizontal="center"/>
    </xf>
    <xf numFmtId="8" fontId="9" fillId="4" borderId="24" xfId="0" applyNumberFormat="1" applyFont="1" applyFill="1" applyBorder="1" applyAlignment="1">
      <alignment horizontal="right" vertical="center"/>
    </xf>
    <xf numFmtId="8" fontId="9" fillId="4" borderId="18" xfId="0" applyNumberFormat="1" applyFont="1" applyFill="1" applyBorder="1" applyAlignment="1">
      <alignment horizontal="left" vertical="center"/>
    </xf>
    <xf numFmtId="8" fontId="3" fillId="4" borderId="24" xfId="0" applyNumberFormat="1" applyFont="1" applyFill="1" applyBorder="1" applyAlignment="1">
      <alignment horizontal="left" vertical="center"/>
    </xf>
    <xf numFmtId="8" fontId="3" fillId="4" borderId="18" xfId="0" applyNumberFormat="1" applyFont="1" applyFill="1" applyBorder="1" applyAlignment="1">
      <alignment horizontal="left" vertical="center"/>
    </xf>
    <xf numFmtId="168" fontId="24" fillId="0" borderId="0" xfId="2" applyNumberFormat="1" applyFont="1" applyFill="1" applyAlignment="1">
      <alignment horizontal="center"/>
    </xf>
    <xf numFmtId="0" fontId="4" fillId="0" borderId="0" xfId="5" applyFont="1" applyFill="1" applyBorder="1" applyAlignment="1">
      <alignment horizontal="center"/>
    </xf>
    <xf numFmtId="49" fontId="3" fillId="0" borderId="0" xfId="6" quotePrefix="1" applyNumberFormat="1" applyFont="1" applyFill="1" applyAlignment="1">
      <alignment horizontal="left"/>
    </xf>
    <xf numFmtId="168" fontId="3" fillId="0" borderId="0" xfId="2" applyNumberFormat="1" applyFont="1" applyFill="1" applyAlignment="1">
      <alignment horizontal="center"/>
    </xf>
    <xf numFmtId="168" fontId="24" fillId="0" borderId="0" xfId="2" applyNumberFormat="1" applyFont="1" applyFill="1" applyAlignment="1">
      <alignment horizontal="center" vertical="center"/>
    </xf>
    <xf numFmtId="168" fontId="3" fillId="0" borderId="0" xfId="2" applyNumberFormat="1" applyFont="1" applyFill="1" applyAlignment="1">
      <alignment horizontal="center" vertical="center"/>
    </xf>
    <xf numFmtId="8" fontId="3" fillId="0" borderId="0" xfId="0" applyNumberFormat="1" applyFont="1" applyFill="1" applyAlignment="1">
      <alignment horizontal="center"/>
    </xf>
    <xf numFmtId="171" fontId="0" fillId="0" borderId="3" xfId="0" applyNumberFormat="1" applyFill="1" applyBorder="1"/>
    <xf numFmtId="8" fontId="27" fillId="0" borderId="0" xfId="0" applyNumberFormat="1" applyFont="1" applyFill="1" applyAlignment="1">
      <alignment horizontal="center"/>
    </xf>
    <xf numFmtId="166" fontId="27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70" fontId="27" fillId="0" borderId="0" xfId="0" applyNumberFormat="1" applyFont="1" applyFill="1"/>
    <xf numFmtId="0" fontId="27" fillId="0" borderId="0" xfId="0" applyFont="1"/>
    <xf numFmtId="0" fontId="0" fillId="0" borderId="0" xfId="0" applyFill="1" applyAlignment="1"/>
    <xf numFmtId="0" fontId="9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8" fontId="31" fillId="0" borderId="0" xfId="0" applyNumberFormat="1" applyFont="1" applyFill="1" applyAlignment="1">
      <alignment horizontal="center"/>
    </xf>
    <xf numFmtId="166" fontId="31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0" fontId="31" fillId="0" borderId="0" xfId="0" applyFont="1" applyFill="1"/>
    <xf numFmtId="7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44" fontId="27" fillId="0" borderId="0" xfId="11" applyFont="1" applyFill="1"/>
    <xf numFmtId="168" fontId="0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31" fillId="2" borderId="0" xfId="0" applyNumberFormat="1" applyFont="1" applyFill="1"/>
    <xf numFmtId="41" fontId="31" fillId="2" borderId="0" xfId="0" applyNumberFormat="1" applyFont="1" applyFill="1" applyAlignment="1">
      <alignment horizontal="center"/>
    </xf>
    <xf numFmtId="2" fontId="31" fillId="0" borderId="0" xfId="0" applyNumberFormat="1" applyFont="1" applyFill="1"/>
    <xf numFmtId="44" fontId="31" fillId="0" borderId="0" xfId="11" applyFont="1" applyFill="1"/>
    <xf numFmtId="41" fontId="0" fillId="2" borderId="0" xfId="0" applyNumberFormat="1" applyFill="1" applyAlignment="1">
      <alignment horizontal="center"/>
    </xf>
    <xf numFmtId="44" fontId="31" fillId="0" borderId="0" xfId="11" applyFont="1" applyFill="1" applyAlignment="1">
      <alignment horizontal="center"/>
    </xf>
    <xf numFmtId="44" fontId="27" fillId="0" borderId="0" xfId="11" applyFont="1" applyFill="1" applyAlignment="1">
      <alignment horizontal="center"/>
    </xf>
    <xf numFmtId="171" fontId="0" fillId="0" borderId="0" xfId="0" applyNumberFormat="1" applyFill="1" applyBorder="1"/>
    <xf numFmtId="170" fontId="31" fillId="0" borderId="0" xfId="0" applyNumberFormat="1" applyFont="1"/>
    <xf numFmtId="170" fontId="31" fillId="0" borderId="0" xfId="0" applyNumberFormat="1" applyFont="1" applyFill="1"/>
    <xf numFmtId="170" fontId="31" fillId="0" borderId="0" xfId="0" applyNumberFormat="1" applyFont="1" applyFill="1" applyBorder="1"/>
    <xf numFmtId="170" fontId="31" fillId="0" borderId="3" xfId="0" applyNumberFormat="1" applyFont="1" applyFill="1" applyBorder="1"/>
    <xf numFmtId="37" fontId="31" fillId="0" borderId="0" xfId="1" applyNumberFormat="1" applyFont="1" applyFill="1"/>
    <xf numFmtId="37" fontId="31" fillId="0" borderId="0" xfId="1" applyNumberFormat="1" applyFont="1"/>
    <xf numFmtId="37" fontId="31" fillId="0" borderId="0" xfId="1" applyNumberFormat="1" applyFont="1" applyFill="1" applyBorder="1"/>
    <xf numFmtId="37" fontId="31" fillId="0" borderId="3" xfId="1" applyNumberFormat="1" applyFont="1" applyFill="1" applyBorder="1"/>
    <xf numFmtId="0" fontId="3" fillId="0" borderId="0" xfId="0" applyFont="1" applyBorder="1"/>
    <xf numFmtId="170" fontId="4" fillId="0" borderId="0" xfId="0" applyNumberFormat="1" applyFont="1" applyFill="1" applyBorder="1"/>
    <xf numFmtId="37" fontId="0" fillId="0" borderId="0" xfId="0" applyNumberFormat="1" applyBorder="1"/>
    <xf numFmtId="0" fontId="4" fillId="0" borderId="0" xfId="0" quotePrefix="1" applyFont="1" applyBorder="1" applyAlignment="1">
      <alignment horizontal="left"/>
    </xf>
    <xf numFmtId="170" fontId="27" fillId="0" borderId="0" xfId="0" applyNumberFormat="1" applyFont="1" applyFill="1" applyBorder="1"/>
    <xf numFmtId="170" fontId="0" fillId="0" borderId="0" xfId="0" applyNumberFormat="1" applyFill="1" applyBorder="1"/>
    <xf numFmtId="170" fontId="27" fillId="0" borderId="0" xfId="0" applyNumberFormat="1" applyFont="1" applyBorder="1"/>
    <xf numFmtId="170" fontId="0" fillId="0" borderId="0" xfId="0" applyNumberForma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70" fontId="4" fillId="0" borderId="0" xfId="0" applyNumberFormat="1" applyFont="1" applyBorder="1"/>
    <xf numFmtId="37" fontId="0" fillId="0" borderId="0" xfId="1" applyNumberFormat="1" applyFont="1" applyBorder="1"/>
    <xf numFmtId="8" fontId="28" fillId="0" borderId="24" xfId="0" applyNumberFormat="1" applyFont="1" applyFill="1" applyBorder="1" applyAlignment="1">
      <alignment horizontal="right" vertical="center"/>
    </xf>
    <xf numFmtId="8" fontId="3" fillId="4" borderId="0" xfId="0" applyNumberFormat="1" applyFont="1" applyFill="1" applyBorder="1" applyAlignment="1">
      <alignment horizontal="left" vertical="center"/>
    </xf>
    <xf numFmtId="8" fontId="28" fillId="0" borderId="10" xfId="0" applyNumberFormat="1" applyFont="1" applyFill="1" applyBorder="1" applyAlignment="1">
      <alignment horizontal="right" vertical="center"/>
    </xf>
    <xf numFmtId="8" fontId="28" fillId="0" borderId="12" xfId="0" applyNumberFormat="1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8" fontId="28" fillId="0" borderId="6" xfId="0" applyNumberFormat="1" applyFont="1" applyFill="1" applyBorder="1" applyAlignment="1">
      <alignment horizontal="right" vertical="center"/>
    </xf>
    <xf numFmtId="8" fontId="28" fillId="0" borderId="15" xfId="0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right" vertical="center"/>
    </xf>
    <xf numFmtId="164" fontId="28" fillId="0" borderId="12" xfId="0" applyNumberFormat="1" applyFont="1" applyFill="1" applyBorder="1" applyAlignment="1">
      <alignment horizontal="right" vertical="center"/>
    </xf>
    <xf numFmtId="8" fontId="9" fillId="0" borderId="0" xfId="0" applyNumberFormat="1" applyFont="1" applyFill="1" applyBorder="1" applyAlignment="1">
      <alignment horizontal="right" vertical="center"/>
    </xf>
    <xf numFmtId="8" fontId="9" fillId="0" borderId="24" xfId="0" applyNumberFormat="1" applyFont="1" applyFill="1" applyBorder="1" applyAlignment="1">
      <alignment horizontal="right" vertical="center"/>
    </xf>
    <xf numFmtId="0" fontId="19" fillId="0" borderId="0" xfId="0" applyFont="1" applyFill="1" applyAlignment="1"/>
    <xf numFmtId="0" fontId="9" fillId="0" borderId="13" xfId="0" applyFont="1" applyFill="1" applyBorder="1" applyAlignment="1">
      <alignment vertical="center"/>
    </xf>
    <xf numFmtId="8" fontId="9" fillId="0" borderId="12" xfId="0" applyNumberFormat="1" applyFont="1" applyFill="1" applyBorder="1" applyAlignment="1">
      <alignment horizontal="right" vertical="center"/>
    </xf>
    <xf numFmtId="8" fontId="28" fillId="0" borderId="10" xfId="0" applyNumberFormat="1" applyFont="1" applyFill="1" applyBorder="1" applyAlignment="1">
      <alignment vertical="center" wrapText="1"/>
    </xf>
    <xf numFmtId="8" fontId="28" fillId="0" borderId="12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8" fontId="9" fillId="0" borderId="10" xfId="0" applyNumberFormat="1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horizontal="center" vertical="center" wrapText="1"/>
    </xf>
    <xf numFmtId="8" fontId="28" fillId="0" borderId="8" xfId="0" applyNumberFormat="1" applyFont="1" applyFill="1" applyBorder="1" applyAlignment="1">
      <alignment vertical="center" wrapText="1"/>
    </xf>
    <xf numFmtId="8" fontId="28" fillId="0" borderId="15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8" fontId="3" fillId="4" borderId="28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27" fillId="0" borderId="0" xfId="0" applyFont="1" applyFill="1"/>
    <xf numFmtId="0" fontId="32" fillId="0" borderId="0" xfId="0" applyFont="1" applyFill="1"/>
    <xf numFmtId="169" fontId="33" fillId="0" borderId="0" xfId="1" applyNumberFormat="1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168" fontId="0" fillId="0" borderId="4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7" fontId="0" fillId="3" borderId="0" xfId="0" applyNumberFormat="1" applyFill="1"/>
    <xf numFmtId="174" fontId="4" fillId="0" borderId="0" xfId="0" applyNumberFormat="1" applyFont="1" applyFill="1"/>
    <xf numFmtId="0" fontId="3" fillId="5" borderId="0" xfId="0" applyFont="1" applyFill="1"/>
    <xf numFmtId="0" fontId="4" fillId="0" borderId="0" xfId="0" applyFont="1" applyAlignment="1">
      <alignment horizontal="center"/>
    </xf>
    <xf numFmtId="175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5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/>
    <xf numFmtId="0" fontId="11" fillId="0" borderId="9" xfId="0" applyFont="1" applyFill="1" applyBorder="1" applyAlignment="1">
      <alignment vertical="center"/>
    </xf>
    <xf numFmtId="1" fontId="0" fillId="0" borderId="0" xfId="0" applyNumberFormat="1"/>
    <xf numFmtId="0" fontId="3" fillId="0" borderId="23" xfId="0" applyFont="1" applyBorder="1" applyAlignment="1">
      <alignment vertical="center"/>
    </xf>
    <xf numFmtId="0" fontId="21" fillId="0" borderId="0" xfId="6" applyFont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4" fillId="0" borderId="0" xfId="0" quotePrefix="1" applyFont="1" applyBorder="1" applyAlignment="1">
      <alignment horizontal="center"/>
    </xf>
    <xf numFmtId="0" fontId="4" fillId="0" borderId="3" xfId="5" quotePrefix="1" applyFont="1" applyFill="1" applyBorder="1" applyAlignment="1">
      <alignment horizontal="center"/>
    </xf>
    <xf numFmtId="0" fontId="4" fillId="0" borderId="3" xfId="5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26" fillId="0" borderId="0" xfId="0" quotePrefix="1" applyNumberFormat="1" applyFont="1" applyAlignment="1">
      <alignment horizontal="center"/>
    </xf>
    <xf numFmtId="0" fontId="26" fillId="0" borderId="0" xfId="0" quotePrefix="1" applyNumberFormat="1" applyFont="1" applyAlignment="1">
      <alignment horizontal="center"/>
    </xf>
    <xf numFmtId="0" fontId="4" fillId="0" borderId="3" xfId="0" quotePrefix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5" quotePrefix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</cellXfs>
  <cellStyles count="13">
    <cellStyle name="Comma" xfId="1" builtinId="3"/>
    <cellStyle name="Currency" xfId="11" builtinId="4"/>
    <cellStyle name="Currency 3" xfId="12"/>
    <cellStyle name="Normal" xfId="0" builtinId="0"/>
    <cellStyle name="Normal 10 2" xfId="7"/>
    <cellStyle name="Normal 13" xfId="3"/>
    <cellStyle name="Normal 2" xfId="5"/>
    <cellStyle name="Normal 2 19" xfId="4"/>
    <cellStyle name="Normal 2 2" xfId="10"/>
    <cellStyle name="Normal 47" xfId="6"/>
    <cellStyle name="Normal 48" xfId="8"/>
    <cellStyle name="Percent" xfId="2" builtinId="5"/>
    <cellStyle name="Percent 2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48"/>
  <sheetViews>
    <sheetView zoomScale="75" zoomScaleNormal="75" workbookViewId="0">
      <selection sqref="A1:C1"/>
    </sheetView>
  </sheetViews>
  <sheetFormatPr defaultRowHeight="12.75" x14ac:dyDescent="0.2"/>
  <cols>
    <col min="1" max="1" width="39.140625" customWidth="1"/>
    <col min="2" max="2" width="3.5703125" customWidth="1"/>
    <col min="3" max="3" width="39.140625" customWidth="1"/>
    <col min="10" max="10" width="10.42578125" customWidth="1"/>
    <col min="11" max="11" width="11.42578125" customWidth="1"/>
    <col min="12" max="12" width="15.5703125" customWidth="1"/>
  </cols>
  <sheetData>
    <row r="1" spans="1:12" ht="15.75" x14ac:dyDescent="0.25">
      <c r="A1" s="420" t="s">
        <v>284</v>
      </c>
      <c r="B1" s="420"/>
      <c r="C1" s="420"/>
    </row>
    <row r="2" spans="1:12" ht="15.75" x14ac:dyDescent="0.25">
      <c r="A2" s="420" t="s">
        <v>285</v>
      </c>
      <c r="B2" s="420"/>
      <c r="C2" s="420"/>
    </row>
    <row r="3" spans="1:12" ht="15.75" x14ac:dyDescent="0.25">
      <c r="A3" s="420" t="s">
        <v>343</v>
      </c>
      <c r="B3" s="420"/>
      <c r="C3" s="420"/>
    </row>
    <row r="8" spans="1:12" ht="15" x14ac:dyDescent="0.25">
      <c r="A8" s="145" t="s">
        <v>286</v>
      </c>
      <c r="B8" s="143"/>
      <c r="C8" s="143"/>
      <c r="J8">
        <v>1</v>
      </c>
      <c r="K8" s="46" t="s">
        <v>320</v>
      </c>
      <c r="L8" t="str">
        <f t="shared" ref="L8:L27" si="0">("PAGE "&amp;J8&amp;" of "&amp;$J$35)</f>
        <v>PAGE 1 of 26</v>
      </c>
    </row>
    <row r="9" spans="1:12" ht="15" x14ac:dyDescent="0.25">
      <c r="A9" s="144" t="s">
        <v>287</v>
      </c>
      <c r="B9" s="143"/>
      <c r="C9" s="146" t="s">
        <v>284</v>
      </c>
      <c r="J9">
        <f>1+J8</f>
        <v>2</v>
      </c>
      <c r="K9" s="46" t="s">
        <v>321</v>
      </c>
      <c r="L9" t="str">
        <f t="shared" si="0"/>
        <v>PAGE 2 of 26</v>
      </c>
    </row>
    <row r="10" spans="1:12" ht="15" x14ac:dyDescent="0.25">
      <c r="A10" s="144" t="s">
        <v>288</v>
      </c>
      <c r="B10" s="143"/>
      <c r="C10" s="306" t="s">
        <v>404</v>
      </c>
      <c r="J10">
        <f t="shared" ref="J10:J33" si="1">1+J9</f>
        <v>3</v>
      </c>
      <c r="K10" s="30" t="s">
        <v>322</v>
      </c>
      <c r="L10" t="str">
        <f t="shared" si="0"/>
        <v>PAGE 3 of 26</v>
      </c>
    </row>
    <row r="11" spans="1:12" ht="15" x14ac:dyDescent="0.25">
      <c r="A11" s="144" t="s">
        <v>289</v>
      </c>
      <c r="B11" s="143"/>
      <c r="C11" s="146" t="s">
        <v>391</v>
      </c>
      <c r="J11">
        <f t="shared" si="1"/>
        <v>4</v>
      </c>
      <c r="K11" s="30" t="s">
        <v>273</v>
      </c>
      <c r="L11" t="str">
        <f t="shared" si="0"/>
        <v>PAGE 4 of 26</v>
      </c>
    </row>
    <row r="12" spans="1:12" ht="15" x14ac:dyDescent="0.25">
      <c r="A12" s="143"/>
      <c r="B12" s="143"/>
      <c r="C12" s="146" t="s">
        <v>392</v>
      </c>
      <c r="J12">
        <f t="shared" si="1"/>
        <v>5</v>
      </c>
      <c r="K12" s="30" t="s">
        <v>323</v>
      </c>
      <c r="L12" t="str">
        <f t="shared" si="0"/>
        <v>PAGE 5 of 26</v>
      </c>
    </row>
    <row r="13" spans="1:12" ht="15" x14ac:dyDescent="0.25">
      <c r="A13" s="143"/>
      <c r="B13" s="143"/>
      <c r="C13" s="146" t="s">
        <v>393</v>
      </c>
      <c r="J13">
        <f t="shared" si="1"/>
        <v>6</v>
      </c>
      <c r="K13" s="30" t="s">
        <v>270</v>
      </c>
      <c r="L13" t="str">
        <f t="shared" si="0"/>
        <v>PAGE 6 of 26</v>
      </c>
    </row>
    <row r="14" spans="1:12" ht="15" x14ac:dyDescent="0.25">
      <c r="A14" s="143"/>
      <c r="B14" s="143"/>
      <c r="C14" s="146" t="s">
        <v>394</v>
      </c>
      <c r="J14">
        <f t="shared" si="1"/>
        <v>7</v>
      </c>
      <c r="K14" s="30" t="s">
        <v>271</v>
      </c>
      <c r="L14" t="str">
        <f t="shared" si="0"/>
        <v>PAGE 7 of 26</v>
      </c>
    </row>
    <row r="15" spans="1:12" ht="15" x14ac:dyDescent="0.25">
      <c r="A15" s="143"/>
      <c r="B15" s="143"/>
      <c r="C15" s="146" t="s">
        <v>395</v>
      </c>
      <c r="J15">
        <f t="shared" si="1"/>
        <v>8</v>
      </c>
      <c r="K15" s="46" t="s">
        <v>272</v>
      </c>
      <c r="L15" t="str">
        <f t="shared" si="0"/>
        <v>PAGE 8 of 26</v>
      </c>
    </row>
    <row r="16" spans="1:12" ht="15" x14ac:dyDescent="0.25">
      <c r="A16" s="143"/>
      <c r="B16" s="143"/>
      <c r="C16" s="146" t="s">
        <v>396</v>
      </c>
      <c r="J16">
        <f t="shared" si="1"/>
        <v>9</v>
      </c>
      <c r="K16" s="30" t="s">
        <v>345</v>
      </c>
      <c r="L16" t="str">
        <f t="shared" si="0"/>
        <v>PAGE 9 of 26</v>
      </c>
    </row>
    <row r="17" spans="1:12" ht="15" x14ac:dyDescent="0.25">
      <c r="A17" s="144" t="s">
        <v>290</v>
      </c>
      <c r="B17" s="143"/>
      <c r="C17" s="146" t="s">
        <v>397</v>
      </c>
      <c r="J17">
        <f t="shared" si="1"/>
        <v>10</v>
      </c>
      <c r="K17" s="30" t="s">
        <v>113</v>
      </c>
      <c r="L17" t="str">
        <f t="shared" si="0"/>
        <v>PAGE 10 of 26</v>
      </c>
    </row>
    <row r="18" spans="1:12" ht="15" x14ac:dyDescent="0.25">
      <c r="A18" s="143"/>
      <c r="B18" s="143"/>
      <c r="C18" s="146" t="s">
        <v>398</v>
      </c>
      <c r="J18">
        <f t="shared" si="1"/>
        <v>11</v>
      </c>
      <c r="K18" s="30" t="s">
        <v>114</v>
      </c>
      <c r="L18" t="str">
        <f t="shared" si="0"/>
        <v>PAGE 11 of 26</v>
      </c>
    </row>
    <row r="19" spans="1:12" ht="15" x14ac:dyDescent="0.25">
      <c r="A19" s="143"/>
      <c r="B19" s="143"/>
      <c r="C19" s="146" t="s">
        <v>405</v>
      </c>
      <c r="J19">
        <f t="shared" si="1"/>
        <v>12</v>
      </c>
      <c r="K19" s="30" t="s">
        <v>114</v>
      </c>
      <c r="L19" t="str">
        <f t="shared" si="0"/>
        <v>PAGE 12 of 26</v>
      </c>
    </row>
    <row r="20" spans="1:12" ht="15" x14ac:dyDescent="0.25">
      <c r="A20" s="143"/>
      <c r="B20" s="143"/>
      <c r="C20" s="146" t="s">
        <v>399</v>
      </c>
      <c r="J20">
        <f t="shared" si="1"/>
        <v>13</v>
      </c>
      <c r="K20" s="30" t="s">
        <v>114</v>
      </c>
      <c r="L20" t="str">
        <f t="shared" si="0"/>
        <v>PAGE 13 of 26</v>
      </c>
    </row>
    <row r="21" spans="1:12" ht="15" x14ac:dyDescent="0.25">
      <c r="A21" s="143"/>
      <c r="B21" s="143"/>
      <c r="C21" s="146" t="s">
        <v>400</v>
      </c>
      <c r="J21">
        <f t="shared" si="1"/>
        <v>14</v>
      </c>
      <c r="K21" s="30" t="s">
        <v>324</v>
      </c>
      <c r="L21" t="str">
        <f t="shared" si="0"/>
        <v>PAGE 14 of 26</v>
      </c>
    </row>
    <row r="22" spans="1:12" ht="15" x14ac:dyDescent="0.25">
      <c r="A22" s="143"/>
      <c r="B22" s="143"/>
      <c r="C22" s="146" t="s">
        <v>401</v>
      </c>
      <c r="J22">
        <f t="shared" si="1"/>
        <v>15</v>
      </c>
      <c r="K22" s="30" t="s">
        <v>324</v>
      </c>
      <c r="L22" t="str">
        <f t="shared" si="0"/>
        <v>PAGE 15 of 26</v>
      </c>
    </row>
    <row r="23" spans="1:12" x14ac:dyDescent="0.2">
      <c r="J23">
        <f t="shared" si="1"/>
        <v>16</v>
      </c>
      <c r="K23" s="30" t="s">
        <v>324</v>
      </c>
      <c r="L23" t="str">
        <f t="shared" si="0"/>
        <v>PAGE 16 of 26</v>
      </c>
    </row>
    <row r="24" spans="1:12" ht="15" x14ac:dyDescent="0.25">
      <c r="A24" s="148" t="s">
        <v>291</v>
      </c>
      <c r="B24" s="143"/>
      <c r="C24" s="142" t="s">
        <v>402</v>
      </c>
      <c r="J24">
        <f t="shared" si="1"/>
        <v>17</v>
      </c>
      <c r="K24" s="30" t="s">
        <v>324</v>
      </c>
      <c r="L24" t="str">
        <f t="shared" si="0"/>
        <v>PAGE 17 of 26</v>
      </c>
    </row>
    <row r="25" spans="1:12" ht="15" x14ac:dyDescent="0.25">
      <c r="A25" s="148" t="s">
        <v>292</v>
      </c>
      <c r="B25" s="143"/>
      <c r="C25" s="142" t="s">
        <v>403</v>
      </c>
      <c r="J25">
        <f t="shared" si="1"/>
        <v>18</v>
      </c>
      <c r="K25" s="30" t="s">
        <v>324</v>
      </c>
      <c r="L25" t="str">
        <f t="shared" si="0"/>
        <v>PAGE 18 of 26</v>
      </c>
    </row>
    <row r="26" spans="1:12" ht="15" x14ac:dyDescent="0.25">
      <c r="A26" s="222" t="s">
        <v>314</v>
      </c>
      <c r="B26" s="143"/>
      <c r="C26" s="223" t="s">
        <v>334</v>
      </c>
      <c r="J26">
        <f t="shared" si="1"/>
        <v>19</v>
      </c>
      <c r="K26" s="30" t="s">
        <v>324</v>
      </c>
      <c r="L26" t="str">
        <f t="shared" si="0"/>
        <v>PAGE 19 of 26</v>
      </c>
    </row>
    <row r="27" spans="1:12" ht="15" x14ac:dyDescent="0.25">
      <c r="A27" s="143"/>
      <c r="B27" s="143"/>
      <c r="C27" s="149"/>
      <c r="J27">
        <f t="shared" si="1"/>
        <v>20</v>
      </c>
      <c r="K27" s="30" t="s">
        <v>324</v>
      </c>
      <c r="L27" t="str">
        <f t="shared" si="0"/>
        <v>PAGE 20 of 26</v>
      </c>
    </row>
    <row r="28" spans="1:12" ht="15" x14ac:dyDescent="0.25">
      <c r="A28" s="145" t="s">
        <v>293</v>
      </c>
      <c r="B28" s="143"/>
      <c r="C28" s="147"/>
      <c r="J28">
        <f t="shared" si="1"/>
        <v>21</v>
      </c>
      <c r="K28" s="30" t="s">
        <v>325</v>
      </c>
      <c r="L28" t="str">
        <f>("PAGE "&amp;J28&amp;" of "&amp;$J$35)</f>
        <v>PAGE 21 of 26</v>
      </c>
    </row>
    <row r="29" spans="1:12" ht="15" x14ac:dyDescent="0.25">
      <c r="A29" s="144" t="s">
        <v>294</v>
      </c>
      <c r="B29" s="143"/>
      <c r="C29" s="144" t="s">
        <v>295</v>
      </c>
      <c r="J29">
        <f t="shared" si="1"/>
        <v>22</v>
      </c>
      <c r="K29" s="30" t="s">
        <v>326</v>
      </c>
      <c r="L29" t="str">
        <f>("PAGE "&amp;J29&amp;" of "&amp;$J$35)</f>
        <v>PAGE 22 of 26</v>
      </c>
    </row>
    <row r="30" spans="1:12" ht="15" x14ac:dyDescent="0.25">
      <c r="A30" s="144" t="s">
        <v>296</v>
      </c>
      <c r="B30" s="143"/>
      <c r="C30" s="144" t="s">
        <v>297</v>
      </c>
      <c r="J30">
        <f t="shared" si="1"/>
        <v>23</v>
      </c>
      <c r="K30" s="30" t="s">
        <v>390</v>
      </c>
      <c r="L30" t="str">
        <f t="shared" ref="L30:L31" si="2">("PAGE "&amp;J30&amp;" of "&amp;$J$35)</f>
        <v>PAGE 23 of 26</v>
      </c>
    </row>
    <row r="31" spans="1:12" ht="15" x14ac:dyDescent="0.25">
      <c r="A31" s="144" t="s">
        <v>298</v>
      </c>
      <c r="B31" s="143"/>
      <c r="C31" s="144" t="s">
        <v>299</v>
      </c>
      <c r="J31">
        <f t="shared" si="1"/>
        <v>24</v>
      </c>
      <c r="K31" s="30" t="s">
        <v>390</v>
      </c>
      <c r="L31" t="str">
        <f t="shared" si="2"/>
        <v>PAGE 24 of 26</v>
      </c>
    </row>
    <row r="32" spans="1:12" x14ac:dyDescent="0.2">
      <c r="J32">
        <f t="shared" si="1"/>
        <v>25</v>
      </c>
      <c r="K32" s="30" t="s">
        <v>385</v>
      </c>
      <c r="L32" t="str">
        <f t="shared" ref="L32" si="3">("PAGE "&amp;J32&amp;" of "&amp;$J$35)</f>
        <v>PAGE 25 of 26</v>
      </c>
    </row>
    <row r="33" spans="1:12" ht="15" x14ac:dyDescent="0.25">
      <c r="A33" s="143"/>
      <c r="B33" s="143"/>
      <c r="C33" s="149" t="s">
        <v>300</v>
      </c>
      <c r="J33">
        <f t="shared" si="1"/>
        <v>26</v>
      </c>
      <c r="K33" s="30" t="s">
        <v>538</v>
      </c>
      <c r="L33" t="str">
        <f>("PAGE "&amp;J33&amp;" of "&amp;$J$35)</f>
        <v>PAGE 26 of 26</v>
      </c>
    </row>
    <row r="34" spans="1:12" ht="15" x14ac:dyDescent="0.25">
      <c r="A34" s="143"/>
      <c r="B34" s="143"/>
      <c r="C34" s="149" t="s">
        <v>301</v>
      </c>
    </row>
    <row r="35" spans="1:12" ht="15" x14ac:dyDescent="0.25">
      <c r="A35" s="145" t="s">
        <v>302</v>
      </c>
      <c r="B35" s="143"/>
      <c r="C35" s="143"/>
      <c r="J35">
        <f>COUNT(J8:J33)</f>
        <v>26</v>
      </c>
    </row>
    <row r="36" spans="1:12" ht="15" x14ac:dyDescent="0.25">
      <c r="A36" s="144" t="s">
        <v>407</v>
      </c>
      <c r="B36" s="143"/>
      <c r="C36" s="144" t="s">
        <v>406</v>
      </c>
    </row>
    <row r="37" spans="1:12" ht="15" x14ac:dyDescent="0.25">
      <c r="A37" s="144"/>
      <c r="B37" s="143"/>
      <c r="C37" s="144" t="s">
        <v>303</v>
      </c>
    </row>
    <row r="38" spans="1:12" ht="15" x14ac:dyDescent="0.25">
      <c r="A38" s="143"/>
      <c r="B38" s="143"/>
      <c r="C38" s="144" t="s">
        <v>303</v>
      </c>
    </row>
    <row r="39" spans="1:12" ht="15" x14ac:dyDescent="0.25">
      <c r="A39" s="143"/>
      <c r="B39" s="143"/>
      <c r="C39" s="144" t="s">
        <v>303</v>
      </c>
    </row>
    <row r="40" spans="1:12" ht="15" x14ac:dyDescent="0.25">
      <c r="A40" s="143"/>
      <c r="B40" s="143"/>
      <c r="C40" s="144" t="s">
        <v>303</v>
      </c>
    </row>
    <row r="41" spans="1:12" ht="15" x14ac:dyDescent="0.25">
      <c r="A41" s="143"/>
      <c r="B41" s="143"/>
      <c r="C41" s="144" t="s">
        <v>303</v>
      </c>
    </row>
    <row r="42" spans="1:12" ht="15" x14ac:dyDescent="0.25">
      <c r="A42" s="143"/>
      <c r="B42" s="143"/>
      <c r="C42" s="144" t="s">
        <v>303</v>
      </c>
    </row>
    <row r="43" spans="1:12" ht="15" x14ac:dyDescent="0.25">
      <c r="A43" s="143"/>
      <c r="B43" s="143"/>
      <c r="C43" s="144" t="s">
        <v>303</v>
      </c>
    </row>
    <row r="44" spans="1:12" ht="15" x14ac:dyDescent="0.25">
      <c r="A44" s="143"/>
      <c r="B44" s="143"/>
      <c r="C44" s="144" t="s">
        <v>303</v>
      </c>
    </row>
    <row r="45" spans="1:12" ht="15" x14ac:dyDescent="0.25">
      <c r="A45" s="143"/>
      <c r="B45" s="143"/>
      <c r="C45" s="144" t="s">
        <v>303</v>
      </c>
    </row>
    <row r="46" spans="1:12" ht="15" x14ac:dyDescent="0.25">
      <c r="A46" s="143"/>
      <c r="B46" s="143"/>
      <c r="C46" s="144" t="s">
        <v>303</v>
      </c>
    </row>
    <row r="47" spans="1:12" ht="15" x14ac:dyDescent="0.25">
      <c r="A47" s="143"/>
      <c r="B47" s="143"/>
      <c r="C47" s="144" t="s">
        <v>303</v>
      </c>
    </row>
    <row r="48" spans="1:12" ht="15" x14ac:dyDescent="0.25">
      <c r="A48" s="143"/>
      <c r="B48" s="143"/>
      <c r="C48" s="144" t="s">
        <v>303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44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8.140625" customWidth="1"/>
    <col min="2" max="2" width="2.140625" customWidth="1"/>
    <col min="3" max="3" width="7.28515625" bestFit="1" customWidth="1"/>
    <col min="4" max="4" width="2.5703125" customWidth="1"/>
    <col min="5" max="5" width="9.85546875" bestFit="1" customWidth="1"/>
    <col min="6" max="6" width="3" customWidth="1"/>
    <col min="7" max="8" width="12.28515625" bestFit="1" customWidth="1"/>
    <col min="9" max="9" width="11" customWidth="1"/>
    <col min="10" max="10" width="9.28515625" bestFit="1" customWidth="1"/>
    <col min="11" max="11" width="12" bestFit="1" customWidth="1"/>
    <col min="12" max="12" width="11.28515625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19" width="10.85546875" customWidth="1"/>
    <col min="20" max="20" width="11.5703125" bestFit="1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429" t="str">
        <f>+'Rate Case Constants'!C9</f>
        <v>LOUISVILLE GAS AND ELECTRIC COMPANY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42" x14ac:dyDescent="0.2">
      <c r="A2" s="429" t="str">
        <f>+'Rate Case Constants'!C10</f>
        <v>CASE NO. 2018-00295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42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42" x14ac:dyDescent="0.2">
      <c r="A4" s="429" t="str">
        <f>+'Rate Case Constants'!C21</f>
        <v>FORECAST PERIOD FOR THE 12 MONTHS ENDED APRIL 30, 2020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42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42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42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 t="str">
        <f>+'Rate Case Constants'!C25</f>
        <v>SCHEDULE N</v>
      </c>
    </row>
    <row r="8" spans="1:42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/>
      <c r="M8" s="249"/>
      <c r="N8" s="249"/>
      <c r="O8" s="249"/>
      <c r="P8" s="251" t="str">
        <f>+'Rate Case Constants'!L14</f>
        <v>PAGE 7 of 26</v>
      </c>
    </row>
    <row r="9" spans="1:42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1" t="str">
        <f>+'Rate Case Constants'!C36</f>
        <v>WITNESS:   R. M. CONROY</v>
      </c>
    </row>
    <row r="10" spans="1:42" x14ac:dyDescent="0.2">
      <c r="A10" s="249"/>
      <c r="B10" s="249"/>
      <c r="C10" s="249"/>
      <c r="D10" s="249"/>
      <c r="E10" s="253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S10" s="83" t="s">
        <v>70</v>
      </c>
      <c r="T10">
        <f>+INPUT!G58</f>
        <v>-5.6926108594624648E-4</v>
      </c>
    </row>
    <row r="11" spans="1:42" x14ac:dyDescent="0.2">
      <c r="A11" s="260" t="s">
        <v>278</v>
      </c>
      <c r="B11" s="2"/>
      <c r="C11" s="2"/>
      <c r="S11" s="83" t="s">
        <v>72</v>
      </c>
      <c r="T11">
        <f>+INPUT!H58</f>
        <v>2.0539187689736831E-5</v>
      </c>
    </row>
    <row r="12" spans="1:42" x14ac:dyDescent="0.2">
      <c r="B12" s="2"/>
      <c r="C12" s="2"/>
      <c r="S12" s="83" t="s">
        <v>71</v>
      </c>
      <c r="T12">
        <f>+INPUT!I58</f>
        <v>1.7681059794729642E-3</v>
      </c>
    </row>
    <row r="13" spans="1:42" x14ac:dyDescent="0.2">
      <c r="A13" s="44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Y13" s="3" t="s">
        <v>71</v>
      </c>
      <c r="Z13" s="3"/>
      <c r="AG13" s="30"/>
      <c r="AH13" s="3" t="s">
        <v>71</v>
      </c>
      <c r="AI13" s="30"/>
      <c r="AJ13" s="30"/>
      <c r="AK13" s="30"/>
      <c r="AL13" s="30"/>
      <c r="AM13" s="30"/>
      <c r="AN13" s="30"/>
      <c r="AO13" s="30"/>
      <c r="AP13" s="30"/>
    </row>
    <row r="14" spans="1:42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" t="s">
        <v>1</v>
      </c>
      <c r="T14" s="3" t="s">
        <v>1</v>
      </c>
      <c r="U14" s="3" t="s">
        <v>1</v>
      </c>
      <c r="W14" s="3" t="s">
        <v>1</v>
      </c>
      <c r="Y14" s="3" t="s">
        <v>1</v>
      </c>
      <c r="Z14" s="3"/>
      <c r="AB14" s="3" t="s">
        <v>9</v>
      </c>
      <c r="AC14" s="3" t="s">
        <v>9</v>
      </c>
      <c r="AD14" s="21" t="s">
        <v>9</v>
      </c>
      <c r="AE14" s="20"/>
      <c r="AF14" s="21" t="s">
        <v>9</v>
      </c>
      <c r="AG14" s="20"/>
      <c r="AH14" s="3" t="s">
        <v>1</v>
      </c>
      <c r="AI14" s="20"/>
      <c r="AK14" s="30"/>
      <c r="AM14" s="30"/>
      <c r="AN14" s="30"/>
    </row>
    <row r="15" spans="1:42" x14ac:dyDescent="0.2">
      <c r="C15" s="3" t="s">
        <v>27</v>
      </c>
      <c r="E15" s="3"/>
      <c r="F15" s="3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"/>
      <c r="R15" s="3"/>
      <c r="S15" s="3" t="s">
        <v>2</v>
      </c>
      <c r="T15" s="3" t="s">
        <v>57</v>
      </c>
      <c r="U15" s="3" t="s">
        <v>28</v>
      </c>
      <c r="V15" s="3"/>
      <c r="W15" s="3" t="s">
        <v>5</v>
      </c>
      <c r="Y15" s="3" t="s">
        <v>75</v>
      </c>
      <c r="Z15" s="3"/>
      <c r="AB15" s="26" t="s">
        <v>56</v>
      </c>
      <c r="AC15" s="3" t="s">
        <v>57</v>
      </c>
      <c r="AD15" s="22" t="s">
        <v>18</v>
      </c>
      <c r="AE15" s="21"/>
      <c r="AF15" s="21" t="s">
        <v>5</v>
      </c>
      <c r="AG15" s="23"/>
      <c r="AH15" s="3" t="s">
        <v>75</v>
      </c>
      <c r="AI15" s="21" t="s">
        <v>6</v>
      </c>
      <c r="AJ15" s="3" t="s">
        <v>8</v>
      </c>
      <c r="AK15" s="47"/>
      <c r="AL15" s="47"/>
      <c r="AM15" s="46"/>
      <c r="AN15" s="46"/>
      <c r="AO15" s="46"/>
      <c r="AP15" s="46"/>
    </row>
    <row r="16" spans="1:42" x14ac:dyDescent="0.2">
      <c r="A16" s="3" t="s">
        <v>52</v>
      </c>
      <c r="C16" s="3" t="s">
        <v>24</v>
      </c>
      <c r="E16" s="3" t="s">
        <v>51</v>
      </c>
      <c r="F16" s="3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"/>
      <c r="R16" s="3"/>
      <c r="S16" s="26" t="s">
        <v>3</v>
      </c>
      <c r="T16" s="3" t="s">
        <v>3</v>
      </c>
      <c r="U16" s="3" t="s">
        <v>58</v>
      </c>
      <c r="V16" s="3"/>
      <c r="W16" s="3" t="s">
        <v>4</v>
      </c>
      <c r="Y16" s="3" t="s">
        <v>3</v>
      </c>
      <c r="Z16" s="3"/>
      <c r="AB16" s="26" t="s">
        <v>3</v>
      </c>
      <c r="AC16" s="3" t="s">
        <v>3</v>
      </c>
      <c r="AD16" s="22" t="s">
        <v>55</v>
      </c>
      <c r="AE16" s="21"/>
      <c r="AF16" s="21" t="s">
        <v>4</v>
      </c>
      <c r="AG16" s="23"/>
      <c r="AH16" s="3" t="s">
        <v>3</v>
      </c>
      <c r="AI16" s="21" t="s">
        <v>7</v>
      </c>
      <c r="AJ16" s="3" t="s">
        <v>7</v>
      </c>
      <c r="AL16" s="30"/>
      <c r="AM16" s="30"/>
      <c r="AN16" s="30"/>
      <c r="AO16" s="30"/>
      <c r="AP16" s="30"/>
    </row>
    <row r="17" spans="1:41" x14ac:dyDescent="0.2">
      <c r="A17" s="3"/>
      <c r="C17" s="3"/>
      <c r="E17" s="3"/>
      <c r="F17" s="3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"/>
      <c r="R17" s="3"/>
      <c r="S17" s="26"/>
      <c r="T17" s="42">
        <f>+INPUT!$G$6</f>
        <v>3.6089999999999997E-2</v>
      </c>
      <c r="U17" s="45">
        <f>+INPUT!$G$12</f>
        <v>19.38</v>
      </c>
      <c r="V17" s="44" t="s">
        <v>66</v>
      </c>
      <c r="W17" s="3"/>
      <c r="Y17" s="42"/>
      <c r="Z17" s="42"/>
      <c r="AB17" s="26"/>
      <c r="AC17" s="42">
        <f>+INPUT!$G$28</f>
        <v>3.2230000000000002E-2</v>
      </c>
      <c r="AD17" s="45">
        <f>INPUT!$G$33</f>
        <v>21.89</v>
      </c>
      <c r="AE17" s="44" t="s">
        <v>66</v>
      </c>
      <c r="AF17" s="21"/>
      <c r="AG17" s="23"/>
      <c r="AH17" s="42"/>
      <c r="AI17" s="21"/>
      <c r="AJ17" s="3"/>
      <c r="AM17" s="30"/>
      <c r="AN17" s="46"/>
      <c r="AO17" s="30"/>
    </row>
    <row r="18" spans="1:41" x14ac:dyDescent="0.2">
      <c r="A18" s="80"/>
      <c r="B18" s="16"/>
      <c r="C18" s="80"/>
      <c r="D18" s="16"/>
      <c r="E18" s="80"/>
      <c r="F18" s="80"/>
      <c r="G18" s="234"/>
      <c r="H18" s="234"/>
      <c r="I18" s="234" t="str">
        <f>("[ "&amp;H13&amp;" - "&amp;G13&amp;" ]")</f>
        <v>[ B - A ]</v>
      </c>
      <c r="J18" s="234" t="str">
        <f>("[ "&amp;I13&amp;" / "&amp;G13&amp;" ]")</f>
        <v>[ C / A ]</v>
      </c>
      <c r="K18" s="262"/>
      <c r="L18" s="262"/>
      <c r="M18" s="262"/>
      <c r="N18" s="234" t="str">
        <f>("["&amp;G13&amp;"+"&amp;$K$13&amp;"+"&amp;$L$13&amp;"+"&amp;$M$13&amp;"]")</f>
        <v>[A+E+F+G]</v>
      </c>
      <c r="O18" s="234" t="str">
        <f>("["&amp;H13&amp;"+"&amp;$K$13&amp;"+"&amp;$L$13&amp;"+"&amp;$M$13&amp;"]")</f>
        <v>[B+E+F+G]</v>
      </c>
      <c r="P18" s="234" t="str">
        <f>("[("&amp;O13&amp;" - "&amp;N13&amp;")/"&amp;N13&amp;"]")</f>
        <v>[(I - H)/H]</v>
      </c>
      <c r="Q18" s="3"/>
      <c r="R18" s="3"/>
      <c r="S18" s="26"/>
      <c r="T18" s="3" t="s">
        <v>14</v>
      </c>
      <c r="U18" s="45">
        <f>+INPUT!$G$13</f>
        <v>16.86</v>
      </c>
      <c r="V18" s="44" t="s">
        <v>67</v>
      </c>
      <c r="W18" s="3"/>
      <c r="Y18" s="3" t="s">
        <v>14</v>
      </c>
      <c r="Z18" s="3"/>
      <c r="AB18" s="26"/>
      <c r="AC18" s="3" t="s">
        <v>14</v>
      </c>
      <c r="AD18" s="45">
        <f>INPUT!$G$34</f>
        <v>19.04</v>
      </c>
      <c r="AE18" s="44" t="s">
        <v>67</v>
      </c>
      <c r="AF18" s="21"/>
      <c r="AG18" s="23"/>
      <c r="AH18" s="3"/>
      <c r="AI18" s="21"/>
      <c r="AJ18" s="3"/>
    </row>
    <row r="19" spans="1:41" x14ac:dyDescent="0.2">
      <c r="A19" s="3"/>
      <c r="E19" s="3"/>
      <c r="F19" s="3"/>
      <c r="G19" s="3"/>
      <c r="H19" s="3"/>
      <c r="I19" s="164"/>
      <c r="J19" s="164"/>
      <c r="K19" s="3"/>
      <c r="L19" s="3"/>
      <c r="M19" s="3"/>
      <c r="N19" s="164"/>
      <c r="O19" s="3"/>
      <c r="P19" s="164"/>
      <c r="Q19" s="3"/>
      <c r="R19" s="3"/>
      <c r="T19" s="3"/>
      <c r="U19" s="3"/>
      <c r="V19" s="3"/>
      <c r="W19" s="3"/>
      <c r="Y19" s="3"/>
      <c r="Z19" s="3"/>
      <c r="AC19" s="21"/>
      <c r="AD19" s="21"/>
      <c r="AE19" s="21"/>
      <c r="AF19" s="21"/>
      <c r="AG19" s="20"/>
      <c r="AH19" s="21"/>
      <c r="AI19" s="20"/>
    </row>
    <row r="20" spans="1:41" x14ac:dyDescent="0.2">
      <c r="A20" s="1">
        <v>50</v>
      </c>
      <c r="C20" s="13">
        <v>0.3</v>
      </c>
      <c r="E20" s="1">
        <f>C20*($A$20*730)</f>
        <v>10950</v>
      </c>
      <c r="G20" s="29">
        <f>+W20</f>
        <v>1530.6855</v>
      </c>
      <c r="H20" s="29">
        <f>+AF20</f>
        <v>1604.4503749999999</v>
      </c>
      <c r="I20" s="29">
        <f>+H20-G20</f>
        <v>73.764874999999847</v>
      </c>
      <c r="J20" s="54">
        <f>ROUND(+I20/G20,4)</f>
        <v>4.82E-2</v>
      </c>
      <c r="K20" s="29">
        <f>ROUND($T$10*$E20,2)</f>
        <v>-6.23</v>
      </c>
      <c r="L20" s="29">
        <f>ROUND($T$11*$E20,2)</f>
        <v>0.22</v>
      </c>
      <c r="M20" s="29">
        <f>ROUND($T$12*$E20,2)</f>
        <v>19.36</v>
      </c>
      <c r="N20" s="29">
        <f>+G20+K20+L20+M20</f>
        <v>1544.0355</v>
      </c>
      <c r="O20" s="29">
        <f>+H20+K20+L20+M20</f>
        <v>1617.8003749999998</v>
      </c>
      <c r="P20" s="54">
        <f>(O20-N20)/N20</f>
        <v>4.7774079676276775E-2</v>
      </c>
      <c r="S20" s="7">
        <f>+INPUT!$G$4</f>
        <v>240</v>
      </c>
      <c r="T20" s="20">
        <f>$T$17*E20</f>
        <v>395.18549999999999</v>
      </c>
      <c r="U20" s="20">
        <f>ROUND((($A$20*$U$17*5)+($A$20*$U$18*7))/12,2)</f>
        <v>895.5</v>
      </c>
      <c r="V20" s="20"/>
      <c r="W20" s="20">
        <f>S20+T20+U20</f>
        <v>1530.6855</v>
      </c>
      <c r="X20" s="20"/>
      <c r="Y20" s="20"/>
      <c r="Z20" s="20"/>
      <c r="AA20" s="20"/>
      <c r="AB20" s="7">
        <f>INPUT!$G$26</f>
        <v>240.15187499999999</v>
      </c>
      <c r="AC20" s="20">
        <f>$AC$17*E20</f>
        <v>352.91849999999999</v>
      </c>
      <c r="AD20" s="20">
        <f>ROUND((($A$20*$AD$17*5)+($A$20*$AD$18*7))/12,2)</f>
        <v>1011.38</v>
      </c>
      <c r="AE20" s="20"/>
      <c r="AF20" s="20">
        <f>AB20+AC20+AD20</f>
        <v>1604.4503749999999</v>
      </c>
      <c r="AG20" s="20"/>
      <c r="AH20" s="20"/>
      <c r="AI20" s="19">
        <f>AF20-W20</f>
        <v>73.764874999999847</v>
      </c>
      <c r="AJ20" s="18">
        <f>AF20/W20-1</f>
        <v>4.8190745257598477E-2</v>
      </c>
    </row>
    <row r="21" spans="1:41" x14ac:dyDescent="0.2">
      <c r="A21" s="1"/>
      <c r="C21" s="13">
        <v>0.5</v>
      </c>
      <c r="E21" s="1">
        <f>C21*($A$20*730)</f>
        <v>18250</v>
      </c>
      <c r="G21" s="29">
        <f>+W21</f>
        <v>1794.1424999999999</v>
      </c>
      <c r="H21" s="29">
        <f>+AF21</f>
        <v>1839.7293749999999</v>
      </c>
      <c r="I21" s="29">
        <f>+H21-G21</f>
        <v>45.586874999999964</v>
      </c>
      <c r="J21" s="54">
        <f>ROUND(+I21/G21,4)</f>
        <v>2.5399999999999999E-2</v>
      </c>
      <c r="K21" s="29">
        <f>ROUND($T$10*$E21,2)</f>
        <v>-10.39</v>
      </c>
      <c r="L21" s="29">
        <f>ROUND($T$11*$E21,2)</f>
        <v>0.37</v>
      </c>
      <c r="M21" s="29">
        <f>ROUND($T$12*$E21,2)</f>
        <v>32.270000000000003</v>
      </c>
      <c r="N21" s="29">
        <f>+G21+K21+L21+M21</f>
        <v>1816.3924999999997</v>
      </c>
      <c r="O21" s="29">
        <f>+H21+K21+L21+M21</f>
        <v>1861.9793749999997</v>
      </c>
      <c r="P21" s="54">
        <f>(O21-N21)/N21</f>
        <v>2.5097480307807906E-2</v>
      </c>
      <c r="S21" s="7">
        <f>$S$20</f>
        <v>240</v>
      </c>
      <c r="T21" s="20">
        <f>$T$17*E21</f>
        <v>658.64249999999993</v>
      </c>
      <c r="U21" s="20">
        <f>ROUND((($A$20*$U$17*5)+($A$20*$U$18*7))/12,2)</f>
        <v>895.5</v>
      </c>
      <c r="V21" s="20"/>
      <c r="W21" s="20">
        <f>S21+T21+U21</f>
        <v>1794.1424999999999</v>
      </c>
      <c r="X21" s="20"/>
      <c r="Y21" s="20"/>
      <c r="Z21" s="20"/>
      <c r="AA21" s="20"/>
      <c r="AB21" s="7">
        <f>+$AB$20</f>
        <v>240.15187499999999</v>
      </c>
      <c r="AC21" s="20">
        <f>$AC$17*E21</f>
        <v>588.19749999999999</v>
      </c>
      <c r="AD21" s="20">
        <f>ROUND((($A$20*$AD$17*5)+($A$20*$AD$18*7))/12,2)</f>
        <v>1011.38</v>
      </c>
      <c r="AE21" s="20"/>
      <c r="AF21" s="20">
        <f>AB21+AC21+AD21</f>
        <v>1839.7293749999999</v>
      </c>
      <c r="AG21" s="20"/>
      <c r="AH21" s="20"/>
      <c r="AI21" s="19">
        <f>AF21-W21</f>
        <v>45.586874999999964</v>
      </c>
      <c r="AJ21" s="18">
        <f>AF21/W21-1</f>
        <v>2.5408725895518236E-2</v>
      </c>
    </row>
    <row r="22" spans="1:41" x14ac:dyDescent="0.2">
      <c r="A22" s="1"/>
      <c r="C22" s="13">
        <v>0.7</v>
      </c>
      <c r="E22" s="1">
        <f>C22*($A$20*730)</f>
        <v>25550</v>
      </c>
      <c r="G22" s="29">
        <f>+W22</f>
        <v>2057.5994999999998</v>
      </c>
      <c r="H22" s="29">
        <f>+AF22</f>
        <v>2075.0083749999999</v>
      </c>
      <c r="I22" s="29">
        <f>+H22-G22</f>
        <v>17.40887500000008</v>
      </c>
      <c r="J22" s="54">
        <f>ROUND(+I22/G22,4)</f>
        <v>8.5000000000000006E-3</v>
      </c>
      <c r="K22" s="29">
        <f>ROUND($T$10*$E22,2)</f>
        <v>-14.54</v>
      </c>
      <c r="L22" s="29">
        <f>ROUND($T$11*$E22,2)</f>
        <v>0.52</v>
      </c>
      <c r="M22" s="29">
        <f>ROUND($T$12*$E22,2)</f>
        <v>45.18</v>
      </c>
      <c r="N22" s="29">
        <f>+G22+K22+L22+M22</f>
        <v>2088.7594999999997</v>
      </c>
      <c r="O22" s="29">
        <f>+H22+K22+L22+M22</f>
        <v>2106.1683749999997</v>
      </c>
      <c r="P22" s="54">
        <f>(O22-N22)/N22</f>
        <v>8.33455215882924E-3</v>
      </c>
      <c r="S22" s="7">
        <f>$S$20</f>
        <v>240</v>
      </c>
      <c r="T22" s="20">
        <f>$T$17*E22</f>
        <v>922.09949999999992</v>
      </c>
      <c r="U22" s="20">
        <f>ROUND((($A$20*$U$17*5)+($A$20*$U$18*7))/12,2)</f>
        <v>895.5</v>
      </c>
      <c r="V22" s="20"/>
      <c r="W22" s="20">
        <f>S22+T22+U22</f>
        <v>2057.5994999999998</v>
      </c>
      <c r="X22" s="20"/>
      <c r="Y22" s="20"/>
      <c r="Z22" s="20"/>
      <c r="AA22" s="20"/>
      <c r="AB22" s="7">
        <f>+$AB$20</f>
        <v>240.15187499999999</v>
      </c>
      <c r="AC22" s="20">
        <f>$AC$17*E22</f>
        <v>823.47649999999999</v>
      </c>
      <c r="AD22" s="20">
        <f>ROUND((($A$20*$AD$17*5)+($A$20*$AD$18*7))/12,2)</f>
        <v>1011.38</v>
      </c>
      <c r="AE22" s="20"/>
      <c r="AF22" s="20">
        <f>AB22+AC22+AD22</f>
        <v>2075.0083749999999</v>
      </c>
      <c r="AG22" s="20"/>
      <c r="AH22" s="20"/>
      <c r="AI22" s="19">
        <f>AF22-W22</f>
        <v>17.40887500000008</v>
      </c>
      <c r="AJ22" s="18">
        <f>AF22/W22-1</f>
        <v>8.4607694548914925E-3</v>
      </c>
    </row>
    <row r="23" spans="1:41" x14ac:dyDescent="0.2">
      <c r="A23" s="1"/>
      <c r="C23" s="13"/>
      <c r="E23" s="1"/>
      <c r="J23" s="5"/>
      <c r="P23" s="54"/>
      <c r="S23" s="7"/>
      <c r="T23" s="20"/>
      <c r="U23" s="20"/>
      <c r="V23" s="20"/>
      <c r="W23" s="20"/>
      <c r="X23" s="20"/>
      <c r="Y23" s="20"/>
      <c r="Z23" s="20"/>
      <c r="AA23" s="20"/>
      <c r="AB23" s="7"/>
      <c r="AC23" s="20"/>
      <c r="AD23" s="20"/>
      <c r="AE23" s="20"/>
      <c r="AF23" s="20"/>
      <c r="AG23" s="20"/>
      <c r="AH23" s="20"/>
      <c r="AI23" s="19"/>
      <c r="AJ23" s="18"/>
    </row>
    <row r="24" spans="1:41" x14ac:dyDescent="0.2">
      <c r="A24" s="1">
        <v>100</v>
      </c>
      <c r="C24" s="13">
        <v>0.3</v>
      </c>
      <c r="E24" s="1">
        <f>C24*($A$24*730)</f>
        <v>21900</v>
      </c>
      <c r="G24" s="29">
        <f>+W24</f>
        <v>2821.3710000000001</v>
      </c>
      <c r="H24" s="29">
        <f>+AF24</f>
        <v>2968.738875</v>
      </c>
      <c r="I24" s="29">
        <f>+H24-G24</f>
        <v>147.36787499999991</v>
      </c>
      <c r="J24" s="54">
        <f>ROUND(+I24/G24,4)</f>
        <v>5.2200000000000003E-2</v>
      </c>
      <c r="K24" s="29">
        <f>ROUND($T$10*$E24,2)</f>
        <v>-12.47</v>
      </c>
      <c r="L24" s="29">
        <f>ROUND($T$11*$E24,2)</f>
        <v>0.45</v>
      </c>
      <c r="M24" s="29">
        <f>ROUND($T$12*$E24,2)</f>
        <v>38.72</v>
      </c>
      <c r="N24" s="29">
        <f>+G24+K24+L24+M24</f>
        <v>2848.0709999999999</v>
      </c>
      <c r="O24" s="29">
        <f>+H24+K24+L24+M24</f>
        <v>2995.4388749999998</v>
      </c>
      <c r="P24" s="54">
        <f>(O24-N24)/N24</f>
        <v>5.1743048189458733E-2</v>
      </c>
      <c r="S24" s="7">
        <f>$S$20</f>
        <v>240</v>
      </c>
      <c r="T24" s="20">
        <f>$T$17*E24</f>
        <v>790.37099999999998</v>
      </c>
      <c r="U24" s="20">
        <f>ROUND((($A$24*$U$17*5)+($A$24*$U$18*7))/12,2)</f>
        <v>1791</v>
      </c>
      <c r="V24" s="20"/>
      <c r="W24" s="20">
        <f>S24+T24+U24</f>
        <v>2821.3710000000001</v>
      </c>
      <c r="X24" s="20"/>
      <c r="Y24" s="20"/>
      <c r="Z24" s="20"/>
      <c r="AA24" s="20"/>
      <c r="AB24" s="7">
        <f>+$AB$20</f>
        <v>240.15187499999999</v>
      </c>
      <c r="AC24" s="20">
        <f>$AC$17*E24</f>
        <v>705.83699999999999</v>
      </c>
      <c r="AD24" s="20">
        <f>ROUND((($A$24*$AD$17*5)+($A$24*$AD$18*7))/12,2)</f>
        <v>2022.75</v>
      </c>
      <c r="AE24" s="20"/>
      <c r="AF24" s="20">
        <f>AB24+AC24+AD24</f>
        <v>2968.738875</v>
      </c>
      <c r="AG24" s="24"/>
      <c r="AH24" s="20"/>
      <c r="AI24" s="19">
        <f>AF24-W24</f>
        <v>147.36787499999991</v>
      </c>
      <c r="AJ24" s="18">
        <f>AF24/W24-1</f>
        <v>5.2232717710644971E-2</v>
      </c>
    </row>
    <row r="25" spans="1:41" x14ac:dyDescent="0.2">
      <c r="A25" s="1"/>
      <c r="C25" s="13">
        <v>0.5</v>
      </c>
      <c r="E25" s="1">
        <f>C25*($A$24*730)</f>
        <v>36500</v>
      </c>
      <c r="G25" s="29">
        <f>+W25</f>
        <v>3348.2849999999999</v>
      </c>
      <c r="H25" s="29">
        <f>+AF25</f>
        <v>3439.296875</v>
      </c>
      <c r="I25" s="29">
        <f>+H25-G25</f>
        <v>91.011875000000146</v>
      </c>
      <c r="J25" s="54">
        <f>ROUND(+I25/G25,4)</f>
        <v>2.7199999999999998E-2</v>
      </c>
      <c r="K25" s="29">
        <f>ROUND($T$10*$E25,2)</f>
        <v>-20.78</v>
      </c>
      <c r="L25" s="29">
        <f>ROUND($T$11*$E25,2)</f>
        <v>0.75</v>
      </c>
      <c r="M25" s="29">
        <f>ROUND($T$12*$E25,2)</f>
        <v>64.540000000000006</v>
      </c>
      <c r="N25" s="29">
        <f>+G25+K25+L25+M25</f>
        <v>3392.7949999999996</v>
      </c>
      <c r="O25" s="29">
        <f>+H25+K25+L25+M25</f>
        <v>3483.8068749999998</v>
      </c>
      <c r="P25" s="54">
        <f>(O25-N25)/N25</f>
        <v>2.6825043953436666E-2</v>
      </c>
      <c r="S25" s="7">
        <f>$S$20</f>
        <v>240</v>
      </c>
      <c r="T25" s="20">
        <f>$T$17*E25</f>
        <v>1317.2849999999999</v>
      </c>
      <c r="U25" s="20">
        <f>ROUND((($A$24*$U$17*5)+($A$24*$U$18*7))/12,2)</f>
        <v>1791</v>
      </c>
      <c r="V25" s="20"/>
      <c r="W25" s="20">
        <f>S25+T25+U25</f>
        <v>3348.2849999999999</v>
      </c>
      <c r="X25" s="20"/>
      <c r="Y25" s="20"/>
      <c r="Z25" s="20"/>
      <c r="AA25" s="20"/>
      <c r="AB25" s="7">
        <f>+$AB$20</f>
        <v>240.15187499999999</v>
      </c>
      <c r="AC25" s="20">
        <f>$AC$17*E25</f>
        <v>1176.395</v>
      </c>
      <c r="AD25" s="20">
        <f>ROUND((($A$24*$AD$17*5)+($A$24*$AD$18*7))/12,2)</f>
        <v>2022.75</v>
      </c>
      <c r="AE25" s="20"/>
      <c r="AF25" s="20">
        <f>AB25+AC25+AD25</f>
        <v>3439.296875</v>
      </c>
      <c r="AG25" s="24"/>
      <c r="AH25" s="20"/>
      <c r="AI25" s="19">
        <f>AF25-W25</f>
        <v>91.011875000000146</v>
      </c>
      <c r="AJ25" s="18">
        <f>AF25/W25-1</f>
        <v>2.7181639257112256E-2</v>
      </c>
    </row>
    <row r="26" spans="1:41" x14ac:dyDescent="0.2">
      <c r="A26" s="1"/>
      <c r="C26" s="13">
        <v>0.7</v>
      </c>
      <c r="E26" s="1">
        <f>C26*($A$24*730)</f>
        <v>51100</v>
      </c>
      <c r="G26" s="29">
        <f>+W26</f>
        <v>3875.1989999999996</v>
      </c>
      <c r="H26" s="29">
        <f>+AF26</f>
        <v>3909.854875</v>
      </c>
      <c r="I26" s="29">
        <f>+H26-G26</f>
        <v>34.655875000000378</v>
      </c>
      <c r="J26" s="54">
        <f>ROUND(+I26/G26,4)</f>
        <v>8.8999999999999999E-3</v>
      </c>
      <c r="K26" s="29">
        <f>ROUND($T$10*$E26,2)</f>
        <v>-29.09</v>
      </c>
      <c r="L26" s="29">
        <f>ROUND($T$11*$E26,2)</f>
        <v>1.05</v>
      </c>
      <c r="M26" s="29">
        <f>ROUND($T$12*$E26,2)</f>
        <v>90.35</v>
      </c>
      <c r="N26" s="29">
        <f>+G26+K26+L26+M26</f>
        <v>3937.5089999999996</v>
      </c>
      <c r="O26" s="29">
        <f>+H26+K26+L26+M26</f>
        <v>3972.1648749999999</v>
      </c>
      <c r="P26" s="54">
        <f>(O26-N26)/N26</f>
        <v>8.8014719458419984E-3</v>
      </c>
      <c r="S26" s="7">
        <f>$S$20</f>
        <v>240</v>
      </c>
      <c r="T26" s="20">
        <f>$T$17*E26</f>
        <v>1844.1989999999998</v>
      </c>
      <c r="U26" s="20">
        <f>ROUND((($A$24*$U$17*5)+($A$24*$U$18*7))/12,2)</f>
        <v>1791</v>
      </c>
      <c r="V26" s="20"/>
      <c r="W26" s="20">
        <f>S26+T26+U26</f>
        <v>3875.1989999999996</v>
      </c>
      <c r="X26" s="20"/>
      <c r="Y26" s="20"/>
      <c r="Z26" s="20"/>
      <c r="AA26" s="20"/>
      <c r="AB26" s="7">
        <f>+$AB$20</f>
        <v>240.15187499999999</v>
      </c>
      <c r="AC26" s="20">
        <f>$AC$17*E26</f>
        <v>1646.953</v>
      </c>
      <c r="AD26" s="20">
        <f>ROUND((($A$24*$AD$17*5)+($A$24*$AD$18*7))/12,2)</f>
        <v>2022.75</v>
      </c>
      <c r="AE26" s="20"/>
      <c r="AF26" s="20">
        <f>AB26+AC26+AD26</f>
        <v>3909.854875</v>
      </c>
      <c r="AG26" s="20"/>
      <c r="AH26" s="20"/>
      <c r="AI26" s="19">
        <f>AF26-W26</f>
        <v>34.655875000000378</v>
      </c>
      <c r="AJ26" s="18">
        <f>AF26/W26-1</f>
        <v>8.9429923469737105E-3</v>
      </c>
    </row>
    <row r="27" spans="1:41" x14ac:dyDescent="0.2">
      <c r="A27" s="1"/>
      <c r="C27" s="13"/>
      <c r="E27" s="1"/>
      <c r="J27" s="5"/>
      <c r="P27" s="54"/>
      <c r="S27" s="7"/>
      <c r="T27" s="20"/>
      <c r="U27" s="20"/>
      <c r="V27" s="20"/>
      <c r="W27" s="20"/>
      <c r="X27" s="20"/>
      <c r="Y27" s="20"/>
      <c r="Z27" s="20"/>
      <c r="AA27" s="20"/>
      <c r="AB27" s="7"/>
      <c r="AC27" s="20"/>
      <c r="AD27" s="20"/>
      <c r="AE27" s="20"/>
      <c r="AF27" s="20"/>
      <c r="AG27" s="20"/>
      <c r="AH27" s="20"/>
      <c r="AI27" s="19"/>
      <c r="AJ27" s="18"/>
    </row>
    <row r="28" spans="1:41" x14ac:dyDescent="0.2">
      <c r="A28" s="1">
        <v>250</v>
      </c>
      <c r="C28" s="13">
        <v>0.3</v>
      </c>
      <c r="E28" s="1">
        <f>C28*($A$28*730)</f>
        <v>54750</v>
      </c>
      <c r="G28" s="29">
        <f>+W28</f>
        <v>6693.4274999999998</v>
      </c>
      <c r="H28" s="29">
        <f>+AF28</f>
        <v>7061.6243750000003</v>
      </c>
      <c r="I28" s="29">
        <f>+H28-G28</f>
        <v>368.19687500000055</v>
      </c>
      <c r="J28" s="54">
        <f>ROUND(+I28/G28,4)</f>
        <v>5.5E-2</v>
      </c>
      <c r="K28" s="29">
        <f>ROUND($T$10*$E28,2)</f>
        <v>-31.17</v>
      </c>
      <c r="L28" s="29">
        <f>ROUND($T$11*$E28,2)</f>
        <v>1.1200000000000001</v>
      </c>
      <c r="M28" s="29">
        <f>ROUND($T$12*$E28,2)</f>
        <v>96.8</v>
      </c>
      <c r="N28" s="29">
        <f>+G28+K28+L28+M28</f>
        <v>6760.1774999999998</v>
      </c>
      <c r="O28" s="29">
        <f>+H28+K28+L28+M28</f>
        <v>7128.3743750000003</v>
      </c>
      <c r="P28" s="54">
        <f>(O28-N28)/N28</f>
        <v>5.4465563219309045E-2</v>
      </c>
      <c r="S28" s="7">
        <f>$S$20</f>
        <v>240</v>
      </c>
      <c r="T28" s="20">
        <f>$T$17*E28</f>
        <v>1975.9274999999998</v>
      </c>
      <c r="U28" s="20">
        <f>ROUND((($A$28*$U$17*5)+($A$28*$U$18*7))/12,2)</f>
        <v>4477.5</v>
      </c>
      <c r="V28" s="20"/>
      <c r="W28" s="20">
        <f>S28+T28+U28</f>
        <v>6693.4274999999998</v>
      </c>
      <c r="X28" s="20"/>
      <c r="Y28" s="20"/>
      <c r="Z28" s="20"/>
      <c r="AA28" s="20"/>
      <c r="AB28" s="7">
        <f>+$AB$20</f>
        <v>240.15187499999999</v>
      </c>
      <c r="AC28" s="20">
        <f>$AC$17*E28</f>
        <v>1764.5925000000002</v>
      </c>
      <c r="AD28" s="20">
        <f>ROUND((($A$28*$AD$17*5)+($A$28*$AD$18*7))/12,2)</f>
        <v>5056.88</v>
      </c>
      <c r="AE28" s="20"/>
      <c r="AF28" s="20">
        <f>AB28+AC28+AD28</f>
        <v>7061.6243750000003</v>
      </c>
      <c r="AG28" s="20"/>
      <c r="AH28" s="20"/>
      <c r="AI28" s="19">
        <f>AF28-W28</f>
        <v>368.19687500000055</v>
      </c>
      <c r="AJ28" s="18">
        <f>AF28/W28-1</f>
        <v>5.5008719374341597E-2</v>
      </c>
    </row>
    <row r="29" spans="1:41" x14ac:dyDescent="0.2">
      <c r="A29" s="1"/>
      <c r="C29" s="13">
        <v>0.5</v>
      </c>
      <c r="E29" s="1">
        <f>C29*($A$28*730)</f>
        <v>91250</v>
      </c>
      <c r="G29" s="29">
        <f>+W29</f>
        <v>8010.7124999999996</v>
      </c>
      <c r="H29" s="29">
        <f>+AF29</f>
        <v>8238.0193749999999</v>
      </c>
      <c r="I29" s="29">
        <f>+H29-G29</f>
        <v>227.30687500000022</v>
      </c>
      <c r="J29" s="54">
        <f>ROUND(+I29/G29,4)</f>
        <v>2.8400000000000002E-2</v>
      </c>
      <c r="K29" s="29">
        <f>ROUND($T$10*$E29,2)</f>
        <v>-51.95</v>
      </c>
      <c r="L29" s="29">
        <f>ROUND($T$11*$E29,2)</f>
        <v>1.87</v>
      </c>
      <c r="M29" s="29">
        <f>ROUND($T$12*$E29,2)</f>
        <v>161.34</v>
      </c>
      <c r="N29" s="29">
        <f>+G29+K29+L29+M29</f>
        <v>8121.9724999999999</v>
      </c>
      <c r="O29" s="29">
        <f>+H29+K29+L29+M29</f>
        <v>8349.2793750000001</v>
      </c>
      <c r="P29" s="54">
        <f>(O29-N29)/N29</f>
        <v>2.7986659028948969E-2</v>
      </c>
      <c r="S29" s="7">
        <f>$S$20</f>
        <v>240</v>
      </c>
      <c r="T29" s="20">
        <f>$T$17*E29</f>
        <v>3293.2124999999996</v>
      </c>
      <c r="U29" s="20">
        <f>ROUND((($A$28*$U$17*5)+($A$28*$U$18*7))/12,2)</f>
        <v>4477.5</v>
      </c>
      <c r="V29" s="20"/>
      <c r="W29" s="20">
        <f>S29+T29+U29</f>
        <v>8010.7124999999996</v>
      </c>
      <c r="X29" s="20"/>
      <c r="Y29" s="20"/>
      <c r="Z29" s="20"/>
      <c r="AA29" s="20"/>
      <c r="AB29" s="7">
        <f>+$AB$20</f>
        <v>240.15187499999999</v>
      </c>
      <c r="AC29" s="20">
        <f>$AC$17*E29</f>
        <v>2940.9875000000002</v>
      </c>
      <c r="AD29" s="20">
        <f>ROUND((($A$28*$AD$17*5)+($A$28*$AD$18*7))/12,2)</f>
        <v>5056.88</v>
      </c>
      <c r="AE29" s="20"/>
      <c r="AF29" s="20">
        <f>AB29+AC29+AD29</f>
        <v>8238.0193749999999</v>
      </c>
      <c r="AG29" s="20"/>
      <c r="AH29" s="20"/>
      <c r="AI29" s="19">
        <f>AF29-W29</f>
        <v>227.30687500000022</v>
      </c>
      <c r="AJ29" s="18">
        <f>AF29/W29-1</f>
        <v>2.8375362990495478E-2</v>
      </c>
    </row>
    <row r="30" spans="1:41" x14ac:dyDescent="0.2">
      <c r="A30" s="1"/>
      <c r="C30" s="13">
        <v>0.7</v>
      </c>
      <c r="E30" s="1">
        <f>C30*($A$28*730)</f>
        <v>127749.99999999999</v>
      </c>
      <c r="G30" s="29">
        <f>+W30</f>
        <v>9327.9974999999995</v>
      </c>
      <c r="H30" s="29">
        <f>+AF30</f>
        <v>9414.4143750000003</v>
      </c>
      <c r="I30" s="29">
        <f>+H30-G30</f>
        <v>86.4168750000008</v>
      </c>
      <c r="J30" s="54">
        <f>ROUND(+I30/G30,4)</f>
        <v>9.2999999999999992E-3</v>
      </c>
      <c r="K30" s="29">
        <f>ROUND($T$10*$E30,2)</f>
        <v>-72.72</v>
      </c>
      <c r="L30" s="29">
        <f>ROUND($T$11*$E30,2)</f>
        <v>2.62</v>
      </c>
      <c r="M30" s="29">
        <f>ROUND($T$12*$E30,2)</f>
        <v>225.88</v>
      </c>
      <c r="N30" s="29">
        <f>+G30+K30+L30+M30</f>
        <v>9483.7775000000001</v>
      </c>
      <c r="O30" s="29">
        <f>+H30+K30+L30+M30</f>
        <v>9570.1943750000009</v>
      </c>
      <c r="P30" s="54">
        <f>(O30-N30)/N30</f>
        <v>9.1120732218781808E-3</v>
      </c>
      <c r="S30" s="7">
        <f>$S$20</f>
        <v>240</v>
      </c>
      <c r="T30" s="20">
        <f>$T$17*E30</f>
        <v>4610.4974999999995</v>
      </c>
      <c r="U30" s="20">
        <f>ROUND((($A$28*$U$17*5)+($A$28*$U$18*7))/12,2)</f>
        <v>4477.5</v>
      </c>
      <c r="V30" s="20"/>
      <c r="W30" s="20">
        <f>S30+T30+U30</f>
        <v>9327.9974999999995</v>
      </c>
      <c r="X30" s="20"/>
      <c r="Y30" s="20"/>
      <c r="Z30" s="20"/>
      <c r="AA30" s="20"/>
      <c r="AB30" s="7">
        <f>+$AB$20</f>
        <v>240.15187499999999</v>
      </c>
      <c r="AC30" s="20">
        <f>$AC$17*E30</f>
        <v>4117.3824999999997</v>
      </c>
      <c r="AD30" s="20">
        <f>ROUND((($A$28*$AD$17*5)+($A$28*$AD$18*7))/12,2)</f>
        <v>5056.88</v>
      </c>
      <c r="AE30" s="20"/>
      <c r="AF30" s="20">
        <f>AB30+AC30+AD30</f>
        <v>9414.4143750000003</v>
      </c>
      <c r="AG30" s="20"/>
      <c r="AH30" s="20"/>
      <c r="AI30" s="19">
        <f>AF30-W30</f>
        <v>86.4168750000008</v>
      </c>
      <c r="AJ30" s="18">
        <f>AF30/W30-1</f>
        <v>9.2642472299120371E-3</v>
      </c>
    </row>
    <row r="31" spans="1:41" x14ac:dyDescent="0.2">
      <c r="A31" s="1"/>
      <c r="C31" s="13"/>
      <c r="E31" s="1"/>
      <c r="J31" s="5"/>
      <c r="P31" s="54"/>
      <c r="S31" s="7"/>
      <c r="T31" s="20"/>
      <c r="U31" s="20"/>
      <c r="V31" s="20"/>
      <c r="W31" s="20"/>
      <c r="X31" s="20"/>
      <c r="Y31" s="20"/>
      <c r="Z31" s="20"/>
      <c r="AA31" s="20"/>
      <c r="AB31" s="7"/>
      <c r="AC31" s="20"/>
      <c r="AD31" s="20"/>
      <c r="AE31" s="20"/>
      <c r="AF31" s="20"/>
      <c r="AG31" s="20"/>
      <c r="AH31" s="20"/>
      <c r="AI31" s="19"/>
      <c r="AJ31" s="18"/>
    </row>
    <row r="32" spans="1:41" x14ac:dyDescent="0.2">
      <c r="A32" s="1">
        <v>500</v>
      </c>
      <c r="C32" s="13">
        <v>0.3</v>
      </c>
      <c r="E32" s="1">
        <f>C32*($A$32*730)</f>
        <v>109500</v>
      </c>
      <c r="G32" s="29">
        <f>+W32</f>
        <v>13146.855</v>
      </c>
      <c r="H32" s="29">
        <f>+AF32</f>
        <v>13883.086875000001</v>
      </c>
      <c r="I32" s="29">
        <f>+H32-G32</f>
        <v>736.23187500000131</v>
      </c>
      <c r="J32" s="54">
        <f>ROUND(+I32/G32,4)</f>
        <v>5.6000000000000001E-2</v>
      </c>
      <c r="K32" s="29">
        <f>ROUND($T$10*$E32,2)</f>
        <v>-62.33</v>
      </c>
      <c r="L32" s="29">
        <f>ROUND($T$11*$E32,2)</f>
        <v>2.25</v>
      </c>
      <c r="M32" s="29">
        <f>ROUND($T$12*$E32,2)</f>
        <v>193.61</v>
      </c>
      <c r="N32" s="29">
        <f>+G32+K32+L32+M32</f>
        <v>13280.385</v>
      </c>
      <c r="O32" s="29">
        <f>+H32+K32+L32+M32</f>
        <v>14016.616875000002</v>
      </c>
      <c r="P32" s="54">
        <f>(O32-N32)/N32</f>
        <v>5.5437540026136385E-2</v>
      </c>
      <c r="S32" s="7">
        <f>$S$20</f>
        <v>240</v>
      </c>
      <c r="T32" s="20">
        <f>$T$17*E32</f>
        <v>3951.8549999999996</v>
      </c>
      <c r="U32" s="20">
        <f>ROUND((($A$32*$U$17*5)+($A$32*$U$18*7))/12,2)</f>
        <v>8955</v>
      </c>
      <c r="V32" s="20"/>
      <c r="W32" s="20">
        <f>S32+T32+U32</f>
        <v>13146.855</v>
      </c>
      <c r="X32" s="20"/>
      <c r="Y32" s="20"/>
      <c r="Z32" s="20"/>
      <c r="AA32" s="20"/>
      <c r="AB32" s="7">
        <f>+$AB$20</f>
        <v>240.15187499999999</v>
      </c>
      <c r="AC32" s="20">
        <f>$AC$17*E32</f>
        <v>3529.1850000000004</v>
      </c>
      <c r="AD32" s="20">
        <f>ROUND((($A$32*$AD$17*5)+($A$32*$AD$18*7))/12,2)</f>
        <v>10113.75</v>
      </c>
      <c r="AE32" s="20"/>
      <c r="AF32" s="20">
        <f>AB32+AC32+AD32</f>
        <v>13883.086875000001</v>
      </c>
      <c r="AG32" s="20"/>
      <c r="AH32" s="20"/>
      <c r="AI32" s="19">
        <f>AF32-W32</f>
        <v>736.23187500000131</v>
      </c>
      <c r="AJ32" s="18">
        <f>AF32/W32-1</f>
        <v>5.6000608130233553E-2</v>
      </c>
    </row>
    <row r="33" spans="1:36" x14ac:dyDescent="0.2">
      <c r="A33" s="1"/>
      <c r="C33" s="13">
        <v>0.5</v>
      </c>
      <c r="E33" s="1">
        <f>C33*($A$32*730)</f>
        <v>182500</v>
      </c>
      <c r="G33" s="29">
        <f>+W33</f>
        <v>15781.424999999999</v>
      </c>
      <c r="H33" s="29">
        <f>+AF33</f>
        <v>16235.876875</v>
      </c>
      <c r="I33" s="29">
        <f>+H33-G33</f>
        <v>454.45187500000065</v>
      </c>
      <c r="J33" s="54">
        <f>ROUND(+I33/G33,4)</f>
        <v>2.8799999999999999E-2</v>
      </c>
      <c r="K33" s="29">
        <f>ROUND($T$10*$E33,2)</f>
        <v>-103.89</v>
      </c>
      <c r="L33" s="29">
        <f>ROUND($T$11*$E33,2)</f>
        <v>3.75</v>
      </c>
      <c r="M33" s="29">
        <f>ROUND($T$12*$E33,2)</f>
        <v>322.68</v>
      </c>
      <c r="N33" s="29">
        <f>+G33+K33+L33+M33</f>
        <v>16003.965</v>
      </c>
      <c r="O33" s="29">
        <f>+H33+K33+L33+M33</f>
        <v>16458.416874999999</v>
      </c>
      <c r="P33" s="54">
        <f>(O33-N33)/N33</f>
        <v>2.8396205252885696E-2</v>
      </c>
      <c r="S33" s="7">
        <f>$S$20</f>
        <v>240</v>
      </c>
      <c r="T33" s="20">
        <f>$T$17*E33</f>
        <v>6586.4249999999993</v>
      </c>
      <c r="U33" s="20">
        <f>ROUND((($A$32*$U$17*5)+($A$32*$U$18*7))/12,2)</f>
        <v>8955</v>
      </c>
      <c r="V33" s="20"/>
      <c r="W33" s="20">
        <f>S33+T33+U33</f>
        <v>15781.424999999999</v>
      </c>
      <c r="X33" s="20"/>
      <c r="Y33" s="20"/>
      <c r="Z33" s="20"/>
      <c r="AA33" s="20"/>
      <c r="AB33" s="7">
        <f>+$AB$20</f>
        <v>240.15187499999999</v>
      </c>
      <c r="AC33" s="20">
        <f>$AC$17*E33</f>
        <v>5881.9750000000004</v>
      </c>
      <c r="AD33" s="20">
        <f>ROUND((($A$32*$AD$17*5)+($A$32*$AD$18*7))/12,2)</f>
        <v>10113.75</v>
      </c>
      <c r="AE33" s="20"/>
      <c r="AF33" s="20">
        <f>AB33+AC33+AD33</f>
        <v>16235.876875</v>
      </c>
      <c r="AG33" s="20"/>
      <c r="AH33" s="20"/>
      <c r="AI33" s="19">
        <f>AF33-W33</f>
        <v>454.45187500000065</v>
      </c>
      <c r="AJ33" s="18">
        <f>AF33/W33-1</f>
        <v>2.8796631166070341E-2</v>
      </c>
    </row>
    <row r="34" spans="1:36" x14ac:dyDescent="0.2">
      <c r="A34" s="1"/>
      <c r="C34" s="13">
        <v>0.7</v>
      </c>
      <c r="E34" s="1">
        <f>C34*($A$32*730)</f>
        <v>255499.99999999997</v>
      </c>
      <c r="G34" s="29">
        <f>+W34</f>
        <v>18415.994999999999</v>
      </c>
      <c r="H34" s="29">
        <f>+AF34</f>
        <v>18588.666874999999</v>
      </c>
      <c r="I34" s="29">
        <f>+H34-G34</f>
        <v>172.671875</v>
      </c>
      <c r="J34" s="54">
        <f>ROUND(+I34/G34,4)</f>
        <v>9.4000000000000004E-3</v>
      </c>
      <c r="K34" s="29">
        <f>ROUND($T$10*$E34,2)</f>
        <v>-145.44999999999999</v>
      </c>
      <c r="L34" s="29">
        <f>ROUND($T$11*$E34,2)</f>
        <v>5.25</v>
      </c>
      <c r="M34" s="29">
        <f>ROUND($T$12*$E34,2)</f>
        <v>451.75</v>
      </c>
      <c r="N34" s="29">
        <f>+G34+K34+L34+M34</f>
        <v>18727.544999999998</v>
      </c>
      <c r="O34" s="29">
        <f>+H34+K34+L34+M34</f>
        <v>18900.216874999998</v>
      </c>
      <c r="P34" s="54">
        <f>(O34-N34)/N34</f>
        <v>9.2202087887120285E-3</v>
      </c>
      <c r="S34" s="7">
        <f>$S$20</f>
        <v>240</v>
      </c>
      <c r="T34" s="20">
        <f>$T$17*E34</f>
        <v>9220.994999999999</v>
      </c>
      <c r="U34" s="20">
        <f>ROUND((($A$32*$U$17*5)+($A$32*$U$18*7))/12,2)</f>
        <v>8955</v>
      </c>
      <c r="V34" s="20"/>
      <c r="W34" s="20">
        <f>S34+T34+U34</f>
        <v>18415.994999999999</v>
      </c>
      <c r="X34" s="20"/>
      <c r="Y34" s="20"/>
      <c r="Z34" s="20"/>
      <c r="AA34" s="20"/>
      <c r="AB34" s="7">
        <f>+$AB$20</f>
        <v>240.15187499999999</v>
      </c>
      <c r="AC34" s="20">
        <f>$AC$17*E34</f>
        <v>8234.7649999999994</v>
      </c>
      <c r="AD34" s="20">
        <f>ROUND((($A$32*$AD$17*5)+($A$32*$AD$18*7))/12,2)</f>
        <v>10113.75</v>
      </c>
      <c r="AE34" s="20"/>
      <c r="AF34" s="20">
        <f>AB34+AC34+AD34</f>
        <v>18588.666874999999</v>
      </c>
      <c r="AG34" s="20"/>
      <c r="AH34" s="20"/>
      <c r="AI34" s="19">
        <f>AF34-W34</f>
        <v>172.671875</v>
      </c>
      <c r="AJ34" s="18">
        <f>AF34/W34-1</f>
        <v>9.3761903714677519E-3</v>
      </c>
    </row>
    <row r="35" spans="1:36" x14ac:dyDescent="0.2">
      <c r="A35" s="1"/>
      <c r="C35" s="13"/>
      <c r="E35" s="1"/>
      <c r="J35" s="5"/>
      <c r="P35" s="54"/>
      <c r="S35" s="7"/>
      <c r="T35" s="20"/>
      <c r="U35" s="20"/>
      <c r="V35" s="20"/>
      <c r="W35" s="20"/>
      <c r="X35" s="20"/>
      <c r="Y35" s="20"/>
      <c r="Z35" s="20"/>
      <c r="AA35" s="20"/>
      <c r="AB35" s="7"/>
      <c r="AC35" s="20"/>
      <c r="AD35" s="20"/>
      <c r="AE35" s="20"/>
      <c r="AF35" s="20"/>
      <c r="AG35" s="20"/>
      <c r="AH35" s="20"/>
      <c r="AI35" s="19"/>
      <c r="AJ35" s="18"/>
    </row>
    <row r="36" spans="1:36" x14ac:dyDescent="0.2">
      <c r="A36" s="1">
        <v>1000</v>
      </c>
      <c r="C36" s="13">
        <v>0.3</v>
      </c>
      <c r="E36" s="1">
        <f>C36*($A$36*730)</f>
        <v>219000</v>
      </c>
      <c r="G36" s="29">
        <f>+W36</f>
        <v>26053.71</v>
      </c>
      <c r="H36" s="29">
        <f>+AF36</f>
        <v>27526.021874999999</v>
      </c>
      <c r="I36" s="29">
        <f>+H36-G36</f>
        <v>1472.3118749999994</v>
      </c>
      <c r="J36" s="54">
        <f>ROUND(+I36/G36,4)</f>
        <v>5.6500000000000002E-2</v>
      </c>
      <c r="K36" s="29">
        <f>ROUND($T$10*$E36,2)</f>
        <v>-124.67</v>
      </c>
      <c r="L36" s="29">
        <f>ROUND($T$11*$E36,2)</f>
        <v>4.5</v>
      </c>
      <c r="M36" s="29">
        <f>ROUND($T$12*$E36,2)</f>
        <v>387.22</v>
      </c>
      <c r="N36" s="29">
        <f>+G36+K36+L36+M36</f>
        <v>26320.760000000002</v>
      </c>
      <c r="O36" s="29">
        <f>+H36+K36+L36+M36</f>
        <v>27793.071875000001</v>
      </c>
      <c r="P36" s="54">
        <f>(O36-N36)/N36</f>
        <v>5.5937285815455151E-2</v>
      </c>
      <c r="S36" s="7">
        <f>$S$20</f>
        <v>240</v>
      </c>
      <c r="T36" s="20">
        <f>$T$17*E36</f>
        <v>7903.7099999999991</v>
      </c>
      <c r="U36" s="20">
        <f>ROUND((($A$36*$U$17*5)+($A$36*$U$18*7))/12,2)</f>
        <v>17910</v>
      </c>
      <c r="V36" s="20"/>
      <c r="W36" s="20">
        <f>S36+T36+U36</f>
        <v>26053.71</v>
      </c>
      <c r="X36" s="20"/>
      <c r="Y36" s="20"/>
      <c r="Z36" s="20"/>
      <c r="AA36" s="20"/>
      <c r="AB36" s="7">
        <f>+$AB$20</f>
        <v>240.15187499999999</v>
      </c>
      <c r="AC36" s="20">
        <f>$AC$17*E36</f>
        <v>7058.3700000000008</v>
      </c>
      <c r="AD36" s="20">
        <f>ROUND((($A$36*$AD$17*5)+($A$36*$AD$18*7))/12,2)</f>
        <v>20227.5</v>
      </c>
      <c r="AE36" s="20"/>
      <c r="AF36" s="20">
        <f>AB36+AC36+AD36</f>
        <v>27526.021874999999</v>
      </c>
      <c r="AG36" s="20"/>
      <c r="AH36" s="20"/>
      <c r="AI36" s="19">
        <f>AF36-W36</f>
        <v>1472.3118749999994</v>
      </c>
      <c r="AJ36" s="18">
        <f>AF36/W36-1</f>
        <v>5.6510641862521638E-2</v>
      </c>
    </row>
    <row r="37" spans="1:36" x14ac:dyDescent="0.2">
      <c r="A37" s="1"/>
      <c r="C37" s="13">
        <v>0.5</v>
      </c>
      <c r="E37" s="1">
        <f>C37*($A$36*730)</f>
        <v>365000</v>
      </c>
      <c r="G37" s="29">
        <f>+W37</f>
        <v>31322.85</v>
      </c>
      <c r="H37" s="29">
        <f>+AF37</f>
        <v>32231.601875</v>
      </c>
      <c r="I37" s="29">
        <f>+H37-G37</f>
        <v>908.75187500000175</v>
      </c>
      <c r="J37" s="54">
        <f>ROUND(+I37/G37,4)</f>
        <v>2.9000000000000001E-2</v>
      </c>
      <c r="K37" s="29">
        <f>ROUND($T$10*$E37,2)</f>
        <v>-207.78</v>
      </c>
      <c r="L37" s="29">
        <f>ROUND($T$11*$E37,2)</f>
        <v>7.5</v>
      </c>
      <c r="M37" s="29">
        <f>ROUND($T$12*$E37,2)</f>
        <v>645.36</v>
      </c>
      <c r="N37" s="29">
        <f>+G37+K37+L37+M37</f>
        <v>31767.93</v>
      </c>
      <c r="O37" s="29">
        <f>+H37+K37+L37+M37</f>
        <v>32676.681875000002</v>
      </c>
      <c r="P37" s="54">
        <f>(O37-N37)/N37</f>
        <v>2.8605951819964403E-2</v>
      </c>
      <c r="S37" s="7">
        <f>$S$20</f>
        <v>240</v>
      </c>
      <c r="T37" s="20">
        <f>$T$17*E37</f>
        <v>13172.849999999999</v>
      </c>
      <c r="U37" s="20">
        <f>ROUND((($A$36*$U$17*5)+($A$36*$U$18*7))/12,2)</f>
        <v>17910</v>
      </c>
      <c r="V37" s="20"/>
      <c r="W37" s="20">
        <f>S37+T37+U37</f>
        <v>31322.85</v>
      </c>
      <c r="X37" s="20"/>
      <c r="Y37" s="20"/>
      <c r="Z37" s="20"/>
      <c r="AA37" s="20"/>
      <c r="AB37" s="7">
        <f>+$AB$20</f>
        <v>240.15187499999999</v>
      </c>
      <c r="AC37" s="20">
        <f>$AC$17*E37</f>
        <v>11763.95</v>
      </c>
      <c r="AD37" s="20">
        <f>ROUND((($A$36*$AD$17*5)+($A$36*$AD$18*7))/12,2)</f>
        <v>20227.5</v>
      </c>
      <c r="AE37" s="20"/>
      <c r="AF37" s="20">
        <f>AB37+AC37+AD37</f>
        <v>32231.601875</v>
      </c>
      <c r="AG37" s="20"/>
      <c r="AH37" s="20"/>
      <c r="AI37" s="19">
        <f>AF37-W37</f>
        <v>908.75187500000175</v>
      </c>
      <c r="AJ37" s="18">
        <f>AF37/W37-1</f>
        <v>2.9012426231968202E-2</v>
      </c>
    </row>
    <row r="38" spans="1:36" x14ac:dyDescent="0.2">
      <c r="A38" s="1"/>
      <c r="C38" s="13">
        <v>0.7</v>
      </c>
      <c r="E38" s="1">
        <f>C38*($A$36*730)</f>
        <v>510999.99999999994</v>
      </c>
      <c r="G38" s="29">
        <f>+W38</f>
        <v>36591.99</v>
      </c>
      <c r="H38" s="29">
        <f>+AF38</f>
        <v>36937.181874999995</v>
      </c>
      <c r="I38" s="29">
        <f>+H38-G38</f>
        <v>345.1918749999968</v>
      </c>
      <c r="J38" s="54">
        <f>ROUND(+I38/G38,4)</f>
        <v>9.4000000000000004E-3</v>
      </c>
      <c r="K38" s="29">
        <f>ROUND($T$10*$E38,2)</f>
        <v>-290.89</v>
      </c>
      <c r="L38" s="29">
        <f>ROUND($T$11*$E38,2)</f>
        <v>10.5</v>
      </c>
      <c r="M38" s="29">
        <f>ROUND($T$12*$E38,2)</f>
        <v>903.5</v>
      </c>
      <c r="N38" s="29">
        <f>+G38+K38+L38+M38</f>
        <v>37215.1</v>
      </c>
      <c r="O38" s="29">
        <f>+H38+K38+L38+M38</f>
        <v>37560.291874999995</v>
      </c>
      <c r="P38" s="54">
        <f>(O38-N38)/N38</f>
        <v>9.2755863883207841E-3</v>
      </c>
      <c r="S38" s="7">
        <f>$S$20</f>
        <v>240</v>
      </c>
      <c r="T38" s="20">
        <f>$T$17*E38</f>
        <v>18441.989999999998</v>
      </c>
      <c r="U38" s="20">
        <f>ROUND((($A$36*$U$17*5)+($A$36*$U$18*7))/12,2)</f>
        <v>17910</v>
      </c>
      <c r="V38" s="20"/>
      <c r="W38" s="20">
        <f>S38+T38+U38</f>
        <v>36591.99</v>
      </c>
      <c r="X38" s="20"/>
      <c r="Y38" s="20"/>
      <c r="Z38" s="20"/>
      <c r="AA38" s="20"/>
      <c r="AB38" s="7">
        <f>+$AB$20</f>
        <v>240.15187499999999</v>
      </c>
      <c r="AC38" s="20">
        <f>$AC$17*E38</f>
        <v>16469.53</v>
      </c>
      <c r="AD38" s="20">
        <f>ROUND((($A$36*$AD$17*5)+($A$36*$AD$18*7))/12,2)</f>
        <v>20227.5</v>
      </c>
      <c r="AE38" s="20"/>
      <c r="AF38" s="20">
        <f>AB38+AC38+AD38</f>
        <v>36937.181874999995</v>
      </c>
      <c r="AG38" s="20"/>
      <c r="AH38" s="20"/>
      <c r="AI38" s="19">
        <f>AF38-W38</f>
        <v>345.1918749999968</v>
      </c>
      <c r="AJ38" s="18">
        <f>AF38/W38-1</f>
        <v>9.4335365472060229E-3</v>
      </c>
    </row>
    <row r="39" spans="1:36" x14ac:dyDescent="0.2">
      <c r="E39" s="1"/>
      <c r="L39" s="29"/>
      <c r="T39" s="20"/>
      <c r="U39" s="20"/>
      <c r="V39" s="20"/>
      <c r="W39" s="20"/>
      <c r="X39" s="20"/>
      <c r="Y39" s="20"/>
      <c r="Z39" s="20"/>
      <c r="AA39" s="20"/>
    </row>
    <row r="40" spans="1:36" x14ac:dyDescent="0.2">
      <c r="A40" s="17" t="s">
        <v>314</v>
      </c>
      <c r="T40" s="20"/>
      <c r="U40" s="20"/>
      <c r="V40" s="20"/>
      <c r="W40" s="20"/>
      <c r="X40" s="20"/>
      <c r="Y40" s="20"/>
      <c r="Z40" s="20"/>
      <c r="AA40" s="20"/>
    </row>
    <row r="41" spans="1:36" x14ac:dyDescent="0.2">
      <c r="A41" s="170" t="str">
        <f>("Average usage = "&amp;TEXT(INPUT!G20*1,"0,000")&amp;" kWh per month")</f>
        <v>Average usage = 140,975 kWh per month</v>
      </c>
      <c r="E41" s="1"/>
      <c r="S41" s="7"/>
      <c r="T41" s="20"/>
      <c r="U41" s="12"/>
      <c r="W41" s="12"/>
      <c r="AA41" s="6"/>
      <c r="AC41" s="9"/>
    </row>
    <row r="42" spans="1:36" x14ac:dyDescent="0.2">
      <c r="A42" s="172" t="s">
        <v>315</v>
      </c>
      <c r="E42" s="1"/>
      <c r="S42" s="7"/>
      <c r="T42" s="20"/>
      <c r="U42" s="12"/>
      <c r="W42" s="12"/>
      <c r="AA42" s="6"/>
      <c r="AC42" s="9"/>
    </row>
    <row r="43" spans="1:36" x14ac:dyDescent="0.2">
      <c r="A43" s="171" t="s">
        <v>316</v>
      </c>
    </row>
    <row r="44" spans="1:36" x14ac:dyDescent="0.2">
      <c r="A44" s="171" t="str">
        <f>+'Rate Case Constants'!C26</f>
        <v>Calculations may vary from other schedules due to rounding</v>
      </c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68"/>
  <sheetViews>
    <sheetView view="pageBreakPreview" zoomScale="70" zoomScaleNormal="100" zoomScaleSheetLayoutView="70" workbookViewId="0">
      <selection sqref="A1:Q1"/>
    </sheetView>
  </sheetViews>
  <sheetFormatPr defaultRowHeight="12.75" x14ac:dyDescent="0.2"/>
  <cols>
    <col min="1" max="2" width="7.140625" customWidth="1"/>
    <col min="3" max="3" width="2.42578125" customWidth="1"/>
    <col min="4" max="4" width="6.5703125" customWidth="1"/>
    <col min="5" max="5" width="1.85546875" customWidth="1"/>
    <col min="6" max="6" width="9.5703125" customWidth="1"/>
    <col min="7" max="7" width="2" customWidth="1"/>
    <col min="8" max="8" width="13.42578125" bestFit="1" customWidth="1"/>
    <col min="9" max="9" width="14.7109375" customWidth="1"/>
    <col min="10" max="10" width="11.28515625" bestFit="1" customWidth="1"/>
    <col min="11" max="11" width="9.85546875" customWidth="1"/>
    <col min="12" max="12" width="12" bestFit="1" customWidth="1"/>
    <col min="13" max="13" width="11.28515625" bestFit="1" customWidth="1"/>
    <col min="14" max="14" width="12.42578125" customWidth="1"/>
    <col min="15" max="16" width="13.42578125" bestFit="1" customWidth="1"/>
    <col min="17" max="19" width="9.85546875" customWidth="1"/>
    <col min="20" max="20" width="10" customWidth="1"/>
    <col min="21" max="21" width="13.5703125" customWidth="1"/>
    <col min="22" max="22" width="12.5703125" bestFit="1" customWidth="1"/>
    <col min="23" max="23" width="12.7109375" bestFit="1" customWidth="1"/>
    <col min="24" max="24" width="12" bestFit="1" customWidth="1"/>
    <col min="25" max="25" width="13" bestFit="1" customWidth="1"/>
    <col min="26" max="26" width="3.140625" customWidth="1"/>
    <col min="27" max="27" width="14.42578125" customWidth="1"/>
    <col min="28" max="28" width="3.85546875" customWidth="1"/>
    <col min="29" max="29" width="2.42578125" customWidth="1"/>
    <col min="30" max="30" width="14.42578125" bestFit="1" customWidth="1"/>
    <col min="31" max="31" width="12.7109375" bestFit="1" customWidth="1"/>
    <col min="32" max="32" width="11.5703125" bestFit="1" customWidth="1"/>
    <col min="33" max="33" width="13.85546875" bestFit="1" customWidth="1"/>
    <col min="34" max="34" width="11.5703125" bestFit="1" customWidth="1"/>
    <col min="35" max="35" width="12.7109375" bestFit="1" customWidth="1"/>
    <col min="36" max="36" width="12.7109375" customWidth="1"/>
    <col min="37" max="37" width="11.140625" customWidth="1"/>
    <col min="38" max="38" width="11.42578125" bestFit="1" customWidth="1"/>
    <col min="39" max="39" width="10.7109375" customWidth="1"/>
    <col min="40" max="40" width="11.42578125" bestFit="1" customWidth="1"/>
  </cols>
  <sheetData>
    <row r="1" spans="1:40" x14ac:dyDescent="0.2">
      <c r="A1" s="429" t="str">
        <f>+'Rate Case Constants'!C9</f>
        <v>LOUISVILLE GAS AND ELECTRIC COMPANY</v>
      </c>
      <c r="B1" s="429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1:40" x14ac:dyDescent="0.2">
      <c r="A2" s="429" t="str">
        <f>+'Rate Case Constants'!C10</f>
        <v>CASE NO. 2018-00295</v>
      </c>
      <c r="B2" s="429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T2" t="s">
        <v>20</v>
      </c>
      <c r="U2" s="3">
        <v>3403989</v>
      </c>
      <c r="V2" s="3"/>
    </row>
    <row r="3" spans="1:40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T3" t="s">
        <v>26</v>
      </c>
      <c r="U3" s="1">
        <v>3780810</v>
      </c>
      <c r="V3" s="410">
        <f>U2/U3</f>
        <v>0.9003332619200648</v>
      </c>
    </row>
    <row r="4" spans="1:40" x14ac:dyDescent="0.2">
      <c r="A4" s="429" t="str">
        <f>+'Rate Case Constants'!C21</f>
        <v>FORECAST PERIOD FOR THE 12 MONTHS ENDED APRIL 30, 2020</v>
      </c>
      <c r="B4" s="429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T4" t="s">
        <v>20</v>
      </c>
      <c r="U4" s="1">
        <v>2589024</v>
      </c>
      <c r="V4" s="1"/>
    </row>
    <row r="5" spans="1:40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T5" t="s">
        <v>26</v>
      </c>
      <c r="U5" s="1">
        <v>2878218</v>
      </c>
      <c r="V5" s="410">
        <f>U4/U5</f>
        <v>0.89952324667554717</v>
      </c>
    </row>
    <row r="6" spans="1:40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T6" t="s">
        <v>20</v>
      </c>
      <c r="U6" s="1">
        <v>2525124</v>
      </c>
      <c r="V6" s="1"/>
    </row>
    <row r="7" spans="1:40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 t="str">
        <f>+'Rate Case Constants'!C25</f>
        <v>SCHEDULE N</v>
      </c>
      <c r="T7" t="s">
        <v>26</v>
      </c>
      <c r="U7" s="1">
        <v>2806928</v>
      </c>
      <c r="V7" s="410">
        <f>U6/U7</f>
        <v>0.89960412237150367</v>
      </c>
    </row>
    <row r="8" spans="1:40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51"/>
      <c r="N8" s="249"/>
      <c r="O8" s="249"/>
      <c r="P8" s="249"/>
      <c r="Q8" s="251" t="str">
        <f>+'Rate Case Constants'!L15</f>
        <v>PAGE 8 of 26</v>
      </c>
    </row>
    <row r="9" spans="1:40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51" t="str">
        <f>+'Rate Case Constants'!C36</f>
        <v>WITNESS:   R. M. CONROY</v>
      </c>
    </row>
    <row r="10" spans="1:40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T10" s="83" t="s">
        <v>70</v>
      </c>
      <c r="U10">
        <f>+INPUT!G59</f>
        <v>-5.6851043734331926E-4</v>
      </c>
    </row>
    <row r="11" spans="1:40" x14ac:dyDescent="0.2">
      <c r="A11" s="260" t="s">
        <v>279</v>
      </c>
      <c r="B11" s="260"/>
      <c r="T11" s="83" t="s">
        <v>72</v>
      </c>
      <c r="U11">
        <f>+INPUT!H59</f>
        <v>1.8202549900614881E-5</v>
      </c>
      <c r="W11" s="58" t="s">
        <v>96</v>
      </c>
      <c r="AE11" s="58" t="s">
        <v>96</v>
      </c>
    </row>
    <row r="12" spans="1:40" x14ac:dyDescent="0.2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83" t="s">
        <v>71</v>
      </c>
      <c r="U12">
        <f>+INPUT!I59</f>
        <v>2.0453422474030918E-3</v>
      </c>
    </row>
    <row r="13" spans="1:40" x14ac:dyDescent="0.2">
      <c r="A13" s="44"/>
      <c r="B13" s="44"/>
      <c r="H13" s="155" t="s">
        <v>304</v>
      </c>
      <c r="I13" s="156" t="s">
        <v>305</v>
      </c>
      <c r="J13" s="156" t="s">
        <v>306</v>
      </c>
      <c r="K13" s="155" t="s">
        <v>307</v>
      </c>
      <c r="L13" s="155" t="s">
        <v>308</v>
      </c>
      <c r="M13" s="155" t="s">
        <v>309</v>
      </c>
      <c r="N13" s="156" t="s">
        <v>310</v>
      </c>
      <c r="O13" s="155" t="s">
        <v>311</v>
      </c>
      <c r="P13" s="155" t="s">
        <v>312</v>
      </c>
      <c r="Q13" s="155" t="s">
        <v>313</v>
      </c>
      <c r="V13" s="3" t="s">
        <v>1</v>
      </c>
      <c r="W13" s="3" t="s">
        <v>1</v>
      </c>
      <c r="X13" s="3" t="s">
        <v>1</v>
      </c>
      <c r="AA13" s="3" t="s">
        <v>71</v>
      </c>
      <c r="AE13" s="20"/>
      <c r="AF13" s="21" t="s">
        <v>9</v>
      </c>
      <c r="AG13" s="21" t="s">
        <v>9</v>
      </c>
      <c r="AH13" s="21" t="s">
        <v>9</v>
      </c>
      <c r="AI13" s="20"/>
      <c r="AJ13" s="3" t="s">
        <v>71</v>
      </c>
    </row>
    <row r="14" spans="1:40" x14ac:dyDescent="0.2">
      <c r="H14" s="231" t="s">
        <v>339</v>
      </c>
      <c r="I14" s="231" t="s">
        <v>339</v>
      </c>
      <c r="J14" s="159"/>
      <c r="K14" s="159"/>
      <c r="L14" s="159"/>
      <c r="M14" s="159"/>
      <c r="N14" s="159"/>
      <c r="O14" s="155" t="s">
        <v>5</v>
      </c>
      <c r="P14" s="155" t="s">
        <v>5</v>
      </c>
      <c r="Q14" s="159"/>
      <c r="T14" s="3" t="s">
        <v>1</v>
      </c>
      <c r="U14" s="3" t="s">
        <v>1</v>
      </c>
      <c r="V14" s="3" t="s">
        <v>34</v>
      </c>
      <c r="W14" s="3" t="s">
        <v>30</v>
      </c>
      <c r="X14" s="3" t="s">
        <v>22</v>
      </c>
      <c r="Y14" s="3" t="s">
        <v>1</v>
      </c>
      <c r="Z14" s="3"/>
      <c r="AA14" s="3" t="s">
        <v>1</v>
      </c>
      <c r="AD14" s="3" t="s">
        <v>9</v>
      </c>
      <c r="AE14" s="3" t="s">
        <v>9</v>
      </c>
      <c r="AF14" s="21" t="s">
        <v>34</v>
      </c>
      <c r="AG14" s="21" t="s">
        <v>30</v>
      </c>
      <c r="AH14" s="21" t="s">
        <v>22</v>
      </c>
      <c r="AI14" s="21" t="s">
        <v>9</v>
      </c>
      <c r="AJ14" s="3" t="s">
        <v>1</v>
      </c>
      <c r="AL14" s="3"/>
    </row>
    <row r="15" spans="1:40" x14ac:dyDescent="0.2">
      <c r="D15" s="3" t="s">
        <v>23</v>
      </c>
      <c r="F15" s="3"/>
      <c r="G15" s="3"/>
      <c r="H15" s="155" t="s">
        <v>1</v>
      </c>
      <c r="I15" s="155" t="s">
        <v>73</v>
      </c>
      <c r="J15" s="155"/>
      <c r="K15" s="155"/>
      <c r="L15" s="424" t="s">
        <v>126</v>
      </c>
      <c r="M15" s="424"/>
      <c r="N15" s="425"/>
      <c r="O15" s="155" t="s">
        <v>1</v>
      </c>
      <c r="P15" s="155" t="s">
        <v>73</v>
      </c>
      <c r="Q15" s="155"/>
      <c r="R15" s="3"/>
      <c r="S15" s="3"/>
      <c r="T15" s="3" t="s">
        <v>2</v>
      </c>
      <c r="U15" s="3" t="s">
        <v>57</v>
      </c>
      <c r="V15" s="3" t="s">
        <v>25</v>
      </c>
      <c r="W15" s="3" t="s">
        <v>25</v>
      </c>
      <c r="X15" s="3" t="s">
        <v>18</v>
      </c>
      <c r="Y15" s="3" t="s">
        <v>5</v>
      </c>
      <c r="Z15" s="3"/>
      <c r="AA15" s="3" t="s">
        <v>75</v>
      </c>
      <c r="AD15" s="26" t="s">
        <v>56</v>
      </c>
      <c r="AE15" s="3" t="s">
        <v>57</v>
      </c>
      <c r="AF15" s="21" t="s">
        <v>25</v>
      </c>
      <c r="AG15" s="21" t="s">
        <v>25</v>
      </c>
      <c r="AH15" s="21" t="s">
        <v>18</v>
      </c>
      <c r="AI15" s="21" t="s">
        <v>5</v>
      </c>
      <c r="AJ15" s="3" t="s">
        <v>75</v>
      </c>
      <c r="AL15" s="3" t="s">
        <v>6</v>
      </c>
      <c r="AM15" s="3"/>
      <c r="AN15" s="3" t="s">
        <v>8</v>
      </c>
    </row>
    <row r="16" spans="1:40" x14ac:dyDescent="0.2">
      <c r="A16" s="412" t="s">
        <v>20</v>
      </c>
      <c r="B16" s="3" t="s">
        <v>26</v>
      </c>
      <c r="D16" s="3" t="s">
        <v>24</v>
      </c>
      <c r="F16" s="3" t="s">
        <v>0</v>
      </c>
      <c r="G16" s="3"/>
      <c r="H16" s="155" t="s">
        <v>4</v>
      </c>
      <c r="I16" s="155" t="s">
        <v>4</v>
      </c>
      <c r="J16" s="155" t="s">
        <v>74</v>
      </c>
      <c r="K16" s="155" t="s">
        <v>74</v>
      </c>
      <c r="L16" s="164" t="s">
        <v>376</v>
      </c>
      <c r="M16" s="164" t="s">
        <v>72</v>
      </c>
      <c r="N16" s="164" t="s">
        <v>71</v>
      </c>
      <c r="O16" s="155" t="s">
        <v>4</v>
      </c>
      <c r="P16" s="155" t="s">
        <v>4</v>
      </c>
      <c r="Q16" s="155" t="s">
        <v>74</v>
      </c>
      <c r="R16" s="3"/>
      <c r="S16" s="3"/>
      <c r="T16" s="26" t="s">
        <v>3</v>
      </c>
      <c r="U16" s="3" t="s">
        <v>3</v>
      </c>
      <c r="V16" s="3" t="s">
        <v>3</v>
      </c>
      <c r="W16" s="3" t="s">
        <v>3</v>
      </c>
      <c r="X16" s="3" t="s">
        <v>3</v>
      </c>
      <c r="Y16" s="3" t="s">
        <v>4</v>
      </c>
      <c r="Z16" s="3"/>
      <c r="AA16" s="3" t="s">
        <v>3</v>
      </c>
      <c r="AD16" s="26" t="s">
        <v>3</v>
      </c>
      <c r="AE16" s="3" t="s">
        <v>3</v>
      </c>
      <c r="AF16" s="21" t="s">
        <v>3</v>
      </c>
      <c r="AG16" s="21" t="s">
        <v>3</v>
      </c>
      <c r="AH16" s="21" t="s">
        <v>3</v>
      </c>
      <c r="AI16" s="21" t="s">
        <v>4</v>
      </c>
      <c r="AJ16" s="3" t="s">
        <v>3</v>
      </c>
      <c r="AL16" s="3" t="s">
        <v>7</v>
      </c>
      <c r="AM16" s="3"/>
      <c r="AN16" s="3" t="s">
        <v>7</v>
      </c>
    </row>
    <row r="17" spans="1:40" x14ac:dyDescent="0.2">
      <c r="A17" s="411"/>
      <c r="B17" s="3"/>
      <c r="D17" s="3"/>
      <c r="F17" s="3"/>
      <c r="G17" s="3"/>
      <c r="H17" s="155"/>
      <c r="I17" s="155"/>
      <c r="J17" s="155" t="s">
        <v>68</v>
      </c>
      <c r="K17" s="156" t="s">
        <v>69</v>
      </c>
      <c r="L17" s="157"/>
      <c r="M17" s="157"/>
      <c r="N17" s="158"/>
      <c r="O17" s="155" t="s">
        <v>68</v>
      </c>
      <c r="P17" s="155" t="s">
        <v>68</v>
      </c>
      <c r="Q17" s="156" t="s">
        <v>69</v>
      </c>
      <c r="R17" s="3"/>
      <c r="S17" s="3"/>
      <c r="T17" s="26"/>
      <c r="U17" s="42">
        <f>+INPUT!$J$6</f>
        <v>3.7339999999999998E-2</v>
      </c>
      <c r="V17" s="43">
        <f>+INPUT!$J$14</f>
        <v>7.3</v>
      </c>
      <c r="W17" s="43">
        <f>+INPUT!$J$15</f>
        <v>5.51</v>
      </c>
      <c r="X17" s="43">
        <f>+INPUT!$J$16</f>
        <v>5.21</v>
      </c>
      <c r="Y17" s="3"/>
      <c r="Z17" s="3"/>
      <c r="AA17" s="42"/>
      <c r="AD17" s="26"/>
      <c r="AE17" s="42">
        <f>+INPUT!$J$28</f>
        <v>3.2629999999999999E-2</v>
      </c>
      <c r="AF17" s="43">
        <f>+INPUT!$J$35</f>
        <v>8.91</v>
      </c>
      <c r="AG17" s="43">
        <f>+INPUT!$J$36</f>
        <v>6.74</v>
      </c>
      <c r="AH17" s="43">
        <f>+INPUT!$J$37</f>
        <v>3.61</v>
      </c>
      <c r="AI17" s="21"/>
      <c r="AJ17" s="42"/>
      <c r="AL17" s="3"/>
      <c r="AM17" s="3"/>
      <c r="AN17" s="3"/>
    </row>
    <row r="18" spans="1:40" x14ac:dyDescent="0.2">
      <c r="A18" s="16"/>
      <c r="B18" s="16"/>
      <c r="C18" s="16"/>
      <c r="D18" s="80"/>
      <c r="E18" s="16"/>
      <c r="F18" s="80"/>
      <c r="G18" s="80"/>
      <c r="H18" s="234"/>
      <c r="I18" s="234"/>
      <c r="J18" s="234" t="str">
        <f>("[ "&amp;I13&amp;" - "&amp;H13&amp;" ]")</f>
        <v>[ B - A ]</v>
      </c>
      <c r="K18" s="234" t="str">
        <f>("[ "&amp;J13&amp;" / "&amp;H13&amp;" ]")</f>
        <v>[ C / A ]</v>
      </c>
      <c r="L18" s="262"/>
      <c r="M18" s="262"/>
      <c r="N18" s="262"/>
      <c r="O18" s="234" t="str">
        <f>("["&amp;H13&amp;"+"&amp;$L$13&amp;"+"&amp;$M$13&amp;"+"&amp;$N$13&amp;"]")</f>
        <v>[A+E+F+G]</v>
      </c>
      <c r="P18" s="234" t="str">
        <f>("["&amp;I13&amp;"+"&amp;$L$13&amp;"+"&amp;$M$13&amp;"+"&amp;$N$13&amp;"]")</f>
        <v>[B+E+F+G]</v>
      </c>
      <c r="Q18" s="234" t="str">
        <f>("[("&amp;P13&amp;" - "&amp;O13&amp;")/"&amp;O13&amp;"]")</f>
        <v>[(I - H)/H]</v>
      </c>
      <c r="R18" s="3"/>
      <c r="S18" s="3"/>
      <c r="U18" s="3" t="s">
        <v>14</v>
      </c>
      <c r="V18" s="409" t="s">
        <v>19</v>
      </c>
      <c r="W18" s="409" t="s">
        <v>19</v>
      </c>
      <c r="X18" s="409" t="s">
        <v>19</v>
      </c>
      <c r="Y18" s="3"/>
      <c r="Z18" s="3"/>
      <c r="AA18" s="3" t="s">
        <v>14</v>
      </c>
      <c r="AD18" s="26"/>
      <c r="AE18" s="3" t="s">
        <v>14</v>
      </c>
      <c r="AF18" s="3" t="s">
        <v>59</v>
      </c>
      <c r="AG18" s="3" t="s">
        <v>59</v>
      </c>
      <c r="AH18" s="3" t="s">
        <v>59</v>
      </c>
      <c r="AI18" s="21"/>
      <c r="AJ18" s="3" t="s">
        <v>14</v>
      </c>
      <c r="AL18" s="3"/>
      <c r="AM18" s="3"/>
      <c r="AN18" s="3"/>
    </row>
    <row r="19" spans="1:40" x14ac:dyDescent="0.2">
      <c r="D19" s="3"/>
      <c r="F19" s="3"/>
      <c r="G19" s="3"/>
      <c r="H19" s="3"/>
      <c r="I19" s="3"/>
      <c r="J19" s="162"/>
      <c r="K19" s="162"/>
      <c r="L19" s="3"/>
      <c r="M19" s="3"/>
      <c r="N19" s="3"/>
      <c r="O19" s="163"/>
      <c r="P19" s="3"/>
      <c r="Q19" s="164"/>
      <c r="R19" s="3"/>
      <c r="S19" s="3"/>
      <c r="V19" s="3"/>
      <c r="W19" s="3"/>
      <c r="X19" s="3"/>
      <c r="Y19" s="3"/>
      <c r="Z19" s="3"/>
      <c r="AD19" s="26"/>
      <c r="AF19" s="418"/>
      <c r="AG19" s="418"/>
      <c r="AH19" s="418"/>
      <c r="AI19" s="21"/>
      <c r="AL19" s="3"/>
      <c r="AM19" s="3"/>
      <c r="AN19" s="3"/>
    </row>
    <row r="20" spans="1:40" x14ac:dyDescent="0.2">
      <c r="A20" s="94">
        <f>B20*AVERAGE($V$3:$V$7)</f>
        <v>224.95505258059299</v>
      </c>
      <c r="B20" s="1">
        <v>250</v>
      </c>
      <c r="C20" s="1"/>
      <c r="D20" s="13">
        <v>0.3</v>
      </c>
      <c r="F20" s="1">
        <f>D20*($B$20*730)</f>
        <v>54750</v>
      </c>
      <c r="G20" s="1"/>
      <c r="H20" s="20">
        <f>+Y20</f>
        <v>6298.0550475022847</v>
      </c>
      <c r="I20" s="29">
        <f>+AI20</f>
        <v>6801.7712499999998</v>
      </c>
      <c r="J20" s="29">
        <f>+I20-H20</f>
        <v>503.71620249771513</v>
      </c>
      <c r="K20" s="54">
        <f>ROUND(+J20/H20,4)</f>
        <v>0.08</v>
      </c>
      <c r="L20" s="29">
        <f>ROUND($U$10*$F20,2)</f>
        <v>-31.13</v>
      </c>
      <c r="M20" s="29">
        <f>ROUND($U$11*$F20,2)</f>
        <v>1</v>
      </c>
      <c r="N20" s="29">
        <f>ROUND($U$12*$F20,2)</f>
        <v>111.98</v>
      </c>
      <c r="O20" s="29">
        <f>+H20+L20+M20+N20</f>
        <v>6379.9050475022841</v>
      </c>
      <c r="P20" s="29">
        <f>+I20+L20+M20+N20</f>
        <v>6883.6212499999992</v>
      </c>
      <c r="Q20" s="54">
        <f>(P20-O20)/O20</f>
        <v>7.8953557889536091E-2</v>
      </c>
      <c r="R20" s="1"/>
      <c r="T20" s="7">
        <f>+INPUT!$J$4</f>
        <v>200</v>
      </c>
      <c r="U20" s="20">
        <f>$U$17*F20</f>
        <v>2044.365</v>
      </c>
      <c r="V20" s="20">
        <f>$V$17*$A$20</f>
        <v>1642.1718838383288</v>
      </c>
      <c r="W20" s="20">
        <f>$W$17*$A$20</f>
        <v>1239.5023397190673</v>
      </c>
      <c r="X20" s="20">
        <f>$X$17*$A$20</f>
        <v>1172.0158239448895</v>
      </c>
      <c r="Y20" s="25">
        <f>T20+U20+V20+W20+X20</f>
        <v>6298.0550475022847</v>
      </c>
      <c r="Z20" s="25"/>
      <c r="AA20" s="20"/>
      <c r="AD20" s="7">
        <f>INPUT!$J$26</f>
        <v>200.27874999999997</v>
      </c>
      <c r="AE20" s="20">
        <f>$AE$17*F20</f>
        <v>1786.4925000000001</v>
      </c>
      <c r="AF20" s="20">
        <f>$B$20*$AF$17</f>
        <v>2227.5</v>
      </c>
      <c r="AG20" s="20">
        <f>$B$20*$AG$17</f>
        <v>1685</v>
      </c>
      <c r="AH20" s="20">
        <f>$B$20*$AH$17</f>
        <v>902.5</v>
      </c>
      <c r="AI20" s="25">
        <f>AD20+AE20+AF20+AG20+AH20</f>
        <v>6801.7712499999998</v>
      </c>
      <c r="AJ20" s="20"/>
      <c r="AK20" s="17"/>
      <c r="AL20" s="7">
        <f>AI20-Y20</f>
        <v>503.71620249771513</v>
      </c>
      <c r="AN20" s="18">
        <f>AI20/Y20-1</f>
        <v>7.9979644302645703E-2</v>
      </c>
    </row>
    <row r="21" spans="1:40" x14ac:dyDescent="0.2">
      <c r="A21" s="5"/>
      <c r="D21" s="13">
        <v>0.5</v>
      </c>
      <c r="F21" s="1">
        <f>D21*($B$20*730)</f>
        <v>91250</v>
      </c>
      <c r="G21" s="1"/>
      <c r="H21" s="29">
        <f t="shared" ref="H21:H38" si="0">+Y21</f>
        <v>7660.9650475022845</v>
      </c>
      <c r="I21" s="29">
        <f>+AI21</f>
        <v>7992.7662499999997</v>
      </c>
      <c r="J21" s="29">
        <f>+I21-H21</f>
        <v>331.80120249771517</v>
      </c>
      <c r="K21" s="54">
        <f>ROUND(+J21/H21,4)</f>
        <v>4.3299999999999998E-2</v>
      </c>
      <c r="L21" s="29">
        <f>ROUND($U$10*$F21,2)</f>
        <v>-51.88</v>
      </c>
      <c r="M21" s="29">
        <f>ROUND($U$11*$F21,2)</f>
        <v>1.66</v>
      </c>
      <c r="N21" s="29">
        <f>ROUND($U$12*$F21,2)</f>
        <v>186.64</v>
      </c>
      <c r="O21" s="29">
        <f>+H21+L21+M21+N21</f>
        <v>7797.3850475022846</v>
      </c>
      <c r="P21" s="29">
        <f>+I21+L21+M21+N21</f>
        <v>8129.1862499999997</v>
      </c>
      <c r="Q21" s="54">
        <f>(P21-O21)/O21</f>
        <v>4.2552881572008573E-2</v>
      </c>
      <c r="R21" s="1"/>
      <c r="T21" s="7">
        <f>$T$20</f>
        <v>200</v>
      </c>
      <c r="U21" s="20">
        <f>$U$17*F21</f>
        <v>3407.2749999999996</v>
      </c>
      <c r="V21" s="20">
        <f>$V$17*$A$20</f>
        <v>1642.1718838383288</v>
      </c>
      <c r="W21" s="20">
        <f>$W$17*$A$20</f>
        <v>1239.5023397190673</v>
      </c>
      <c r="X21" s="20">
        <f>$X$17*$A$20</f>
        <v>1172.0158239448895</v>
      </c>
      <c r="Y21" s="25">
        <f>T21+U21+V21+W21+X21</f>
        <v>7660.9650475022845</v>
      </c>
      <c r="Z21" s="25"/>
      <c r="AA21" s="20"/>
      <c r="AD21" s="7">
        <f>$AD$20</f>
        <v>200.27874999999997</v>
      </c>
      <c r="AE21" s="20">
        <f>$AE$17*F21</f>
        <v>2977.4874999999997</v>
      </c>
      <c r="AF21" s="20">
        <f>$B$20*$AF$17</f>
        <v>2227.5</v>
      </c>
      <c r="AG21" s="20">
        <f t="shared" ref="AG21:AG22" si="1">$B$20*$AG$17</f>
        <v>1685</v>
      </c>
      <c r="AH21" s="20">
        <f t="shared" ref="AH21:AH22" si="2">$B$20*$AH$17</f>
        <v>902.5</v>
      </c>
      <c r="AI21" s="25">
        <f>AD21+AE21+AF21+AG21+AH21</f>
        <v>7992.7662499999997</v>
      </c>
      <c r="AJ21" s="20"/>
      <c r="AK21" s="17"/>
      <c r="AL21" s="7">
        <f>AI21-Y21</f>
        <v>331.80120249771517</v>
      </c>
      <c r="AN21" s="18">
        <f>AI21/Y21-1</f>
        <v>4.331062737401381E-2</v>
      </c>
    </row>
    <row r="22" spans="1:40" x14ac:dyDescent="0.2">
      <c r="A22" s="5"/>
      <c r="D22" s="13">
        <v>0.7</v>
      </c>
      <c r="F22" s="1">
        <f>D22*($B$20*730)</f>
        <v>127749.99999999999</v>
      </c>
      <c r="G22" s="1"/>
      <c r="H22" s="29">
        <f t="shared" si="0"/>
        <v>9023.8750475022844</v>
      </c>
      <c r="I22" s="29">
        <f>+AI22</f>
        <v>9183.7612499999996</v>
      </c>
      <c r="J22" s="29">
        <f>+I22-H22</f>
        <v>159.8862024977152</v>
      </c>
      <c r="K22" s="54">
        <f>ROUND(+J22/H22,4)</f>
        <v>1.77E-2</v>
      </c>
      <c r="L22" s="29">
        <f>ROUND($U$10*$F22,2)</f>
        <v>-72.63</v>
      </c>
      <c r="M22" s="29">
        <f>ROUND($U$11*$F22,2)</f>
        <v>2.33</v>
      </c>
      <c r="N22" s="29">
        <f>ROUND($U$12*$F22,2)</f>
        <v>261.29000000000002</v>
      </c>
      <c r="O22" s="29">
        <f>+H22+L22+M22+N22</f>
        <v>9214.865047502286</v>
      </c>
      <c r="P22" s="29">
        <f>+I22+L22+M22+N22</f>
        <v>9374.7512500000012</v>
      </c>
      <c r="Q22" s="54">
        <f>(P22-O22)/O22</f>
        <v>1.7350900059144414E-2</v>
      </c>
      <c r="R22" s="1"/>
      <c r="T22" s="7">
        <f>$T$20</f>
        <v>200</v>
      </c>
      <c r="U22" s="20">
        <f>$U$17*F22</f>
        <v>4770.1849999999995</v>
      </c>
      <c r="V22" s="20">
        <f>$V$17*$A$20</f>
        <v>1642.1718838383288</v>
      </c>
      <c r="W22" s="20">
        <f>$W$17*$A$20</f>
        <v>1239.5023397190673</v>
      </c>
      <c r="X22" s="20">
        <f>$X$17*$A$20</f>
        <v>1172.0158239448895</v>
      </c>
      <c r="Y22" s="25">
        <f>T22+U22+V22+W22+X22</f>
        <v>9023.8750475022844</v>
      </c>
      <c r="Z22" s="25"/>
      <c r="AA22" s="20"/>
      <c r="AD22" s="7">
        <f>$AD$20</f>
        <v>200.27874999999997</v>
      </c>
      <c r="AE22" s="20">
        <f>$AE$17*F22</f>
        <v>4168.4824999999992</v>
      </c>
      <c r="AF22" s="20">
        <f>$B$20*$AF$17</f>
        <v>2227.5</v>
      </c>
      <c r="AG22" s="20">
        <f t="shared" si="1"/>
        <v>1685</v>
      </c>
      <c r="AH22" s="20">
        <f t="shared" si="2"/>
        <v>902.5</v>
      </c>
      <c r="AI22" s="25">
        <f>AD22+AE22+AF22+AG22+AH22</f>
        <v>9183.7612499999996</v>
      </c>
      <c r="AJ22" s="20"/>
      <c r="AK22" s="17"/>
      <c r="AL22" s="7">
        <f>AI22-Y22</f>
        <v>159.8862024977152</v>
      </c>
      <c r="AN22" s="18">
        <f>AI22/Y22-1</f>
        <v>1.771813125249011E-2</v>
      </c>
    </row>
    <row r="23" spans="1:40" x14ac:dyDescent="0.2">
      <c r="A23" s="5"/>
      <c r="D23" s="13"/>
      <c r="F23" s="1"/>
      <c r="G23" s="1"/>
      <c r="H23" s="29"/>
      <c r="I23" s="29"/>
      <c r="K23" s="5"/>
      <c r="L23" s="1"/>
      <c r="M23" s="1"/>
      <c r="N23" s="1"/>
      <c r="Q23" s="54"/>
      <c r="R23" s="1"/>
      <c r="T23" s="7"/>
      <c r="U23" s="20"/>
      <c r="V23" s="20"/>
      <c r="W23" s="20"/>
      <c r="X23" s="20"/>
      <c r="Y23" s="25"/>
      <c r="Z23" s="25"/>
      <c r="AD23" s="7"/>
      <c r="AE23" s="20"/>
      <c r="AF23" s="20"/>
      <c r="AG23" s="20"/>
      <c r="AH23" s="20"/>
      <c r="AI23" s="25"/>
      <c r="AK23" s="17"/>
      <c r="AL23" s="6"/>
      <c r="AN23" s="6"/>
    </row>
    <row r="24" spans="1:40" x14ac:dyDescent="0.2">
      <c r="A24" s="94">
        <f>B24*AVERAGE($V$3:$V$7)</f>
        <v>449.91010516118598</v>
      </c>
      <c r="B24" s="1">
        <v>500</v>
      </c>
      <c r="C24" s="1"/>
      <c r="D24" s="13">
        <v>0.3</v>
      </c>
      <c r="F24" s="1">
        <f>D24*($B$24*730)</f>
        <v>109500</v>
      </c>
      <c r="G24" s="1"/>
      <c r="H24" s="29">
        <f t="shared" si="0"/>
        <v>12396.110095004569</v>
      </c>
      <c r="I24" s="29">
        <f>+AI24</f>
        <v>13403.26375</v>
      </c>
      <c r="J24" s="29">
        <f>+I24-H24</f>
        <v>1007.1536549954308</v>
      </c>
      <c r="K24" s="54">
        <f>ROUND(+J24/H24,4)</f>
        <v>8.1199999999999994E-2</v>
      </c>
      <c r="L24" s="29">
        <f>ROUND($U$10*$F24,2)</f>
        <v>-62.25</v>
      </c>
      <c r="M24" s="29">
        <f>ROUND($U$11*$F24,2)</f>
        <v>1.99</v>
      </c>
      <c r="N24" s="29">
        <f>ROUND($U$12*$F24,2)</f>
        <v>223.96</v>
      </c>
      <c r="O24" s="29">
        <f>+H24+L24+M24+N24</f>
        <v>12559.810095004568</v>
      </c>
      <c r="P24" s="29">
        <f>+I24+L24+M24+N24</f>
        <v>13566.963749999999</v>
      </c>
      <c r="Q24" s="54">
        <f>(P24-O24)/O24</f>
        <v>8.0188605351286912E-2</v>
      </c>
      <c r="R24" s="1"/>
      <c r="T24" s="7">
        <f>$T$20</f>
        <v>200</v>
      </c>
      <c r="U24" s="20">
        <f>$U$17*F24</f>
        <v>4088.73</v>
      </c>
      <c r="V24" s="20">
        <f>$V$17*$A$24</f>
        <v>3284.3437676766575</v>
      </c>
      <c r="W24" s="20">
        <f>$W$17*$A$24</f>
        <v>2479.0046794381346</v>
      </c>
      <c r="X24" s="20">
        <f>$X$17*$A$24</f>
        <v>2344.0316478897789</v>
      </c>
      <c r="Y24" s="25">
        <f>T24+U24+V24+W24+X24</f>
        <v>12396.110095004569</v>
      </c>
      <c r="Z24" s="25"/>
      <c r="AA24" s="20"/>
      <c r="AD24" s="7">
        <f>$AD$20</f>
        <v>200.27874999999997</v>
      </c>
      <c r="AE24" s="20">
        <f>$AE$17*F24</f>
        <v>3572.9850000000001</v>
      </c>
      <c r="AF24" s="20">
        <f>$B$24*$AF$17</f>
        <v>4455</v>
      </c>
      <c r="AG24" s="20">
        <f>$B$24*$AG$17</f>
        <v>3370</v>
      </c>
      <c r="AH24" s="20">
        <f>$B$24*$AH$17</f>
        <v>1805</v>
      </c>
      <c r="AI24" s="25">
        <f>AD24+AE24+AF24+AG24+AH24</f>
        <v>13403.26375</v>
      </c>
      <c r="AJ24" s="20"/>
      <c r="AK24" s="17"/>
      <c r="AL24" s="7">
        <f>AI24-Y24</f>
        <v>1007.1536549954308</v>
      </c>
      <c r="AM24" s="10"/>
      <c r="AN24" s="18">
        <f>AI24/Y24-1</f>
        <v>8.1247556473485805E-2</v>
      </c>
    </row>
    <row r="25" spans="1:40" x14ac:dyDescent="0.2">
      <c r="A25" s="5"/>
      <c r="D25" s="13">
        <v>0.5</v>
      </c>
      <c r="F25" s="1">
        <v>227989</v>
      </c>
      <c r="G25" s="1"/>
      <c r="H25" s="29">
        <f t="shared" si="0"/>
        <v>16820.489355004571</v>
      </c>
      <c r="I25" s="29">
        <f>+AI25</f>
        <v>17269.559820000002</v>
      </c>
      <c r="J25" s="29">
        <f>+I25-H25</f>
        <v>449.07046499543139</v>
      </c>
      <c r="K25" s="54">
        <f>ROUND(+J25/H25,4)</f>
        <v>2.6700000000000002E-2</v>
      </c>
      <c r="L25" s="29">
        <f>ROUND($U$10*$F25,2)</f>
        <v>-129.61000000000001</v>
      </c>
      <c r="M25" s="29">
        <f>ROUND($U$11*$F25,2)</f>
        <v>4.1500000000000004</v>
      </c>
      <c r="N25" s="29">
        <f>ROUND($U$12*$F25,2)</f>
        <v>466.32</v>
      </c>
      <c r="O25" s="29">
        <f>+H25+L25+M25+N25</f>
        <v>17161.349355004571</v>
      </c>
      <c r="P25" s="29">
        <f>+I25+L25+M25+N25</f>
        <v>17610.419820000003</v>
      </c>
      <c r="Q25" s="54">
        <f>(P25-O25)/O25</f>
        <v>2.6167549864863863E-2</v>
      </c>
      <c r="R25" s="1"/>
      <c r="T25" s="7">
        <f>$T$20</f>
        <v>200</v>
      </c>
      <c r="U25" s="20">
        <f>$U$17*F25</f>
        <v>8513.1092599999993</v>
      </c>
      <c r="V25" s="20">
        <f>$V$17*$A$24</f>
        <v>3284.3437676766575</v>
      </c>
      <c r="W25" s="20">
        <f>$W$17*$A$24</f>
        <v>2479.0046794381346</v>
      </c>
      <c r="X25" s="20">
        <f>$X$17*$A$24</f>
        <v>2344.0316478897789</v>
      </c>
      <c r="Y25" s="25">
        <f>T25+U25+V25+W25+X25</f>
        <v>16820.489355004571</v>
      </c>
      <c r="Z25" s="25"/>
      <c r="AA25" s="20"/>
      <c r="AD25" s="7">
        <f>$AD$20</f>
        <v>200.27874999999997</v>
      </c>
      <c r="AE25" s="20">
        <f>$AE$17*F25</f>
        <v>7439.28107</v>
      </c>
      <c r="AF25" s="20">
        <f t="shared" ref="AF25:AF26" si="3">$B$24*$AF$17</f>
        <v>4455</v>
      </c>
      <c r="AG25" s="20">
        <f t="shared" ref="AG25:AG26" si="4">$B$24*$AG$17</f>
        <v>3370</v>
      </c>
      <c r="AH25" s="20">
        <f t="shared" ref="AH25:AH26" si="5">$B$24*$AH$17</f>
        <v>1805</v>
      </c>
      <c r="AI25" s="25">
        <f>AD25+AE25+AF25+AG25+AH25</f>
        <v>17269.559820000002</v>
      </c>
      <c r="AJ25" s="20"/>
      <c r="AK25" s="17"/>
      <c r="AL25" s="7">
        <f>AI25-Y25</f>
        <v>449.07046499543139</v>
      </c>
      <c r="AM25" s="10"/>
      <c r="AN25" s="18">
        <f>AI25/Y25-1</f>
        <v>2.6697824035768702E-2</v>
      </c>
    </row>
    <row r="26" spans="1:40" x14ac:dyDescent="0.2">
      <c r="A26" s="5"/>
      <c r="D26" s="13">
        <v>0.7</v>
      </c>
      <c r="F26" s="1">
        <f>D26*($B$24*730)</f>
        <v>255499.99999999997</v>
      </c>
      <c r="G26" s="1"/>
      <c r="H26" s="29">
        <f t="shared" si="0"/>
        <v>17847.750095004569</v>
      </c>
      <c r="I26" s="29">
        <f>+AI26</f>
        <v>18167.243749999998</v>
      </c>
      <c r="J26" s="29">
        <f>+I26-H26</f>
        <v>319.4936549954291</v>
      </c>
      <c r="K26" s="54">
        <f>ROUND(+J26/H26,4)</f>
        <v>1.7899999999999999E-2</v>
      </c>
      <c r="L26" s="29">
        <f>ROUND($U$10*$F26,2)</f>
        <v>-145.25</v>
      </c>
      <c r="M26" s="29">
        <f>ROUND($U$11*$F26,2)</f>
        <v>4.6500000000000004</v>
      </c>
      <c r="N26" s="29">
        <f>ROUND($U$12*$F26,2)</f>
        <v>522.58000000000004</v>
      </c>
      <c r="O26" s="29">
        <f>+H26+L26+M26+N26</f>
        <v>18229.730095004572</v>
      </c>
      <c r="P26" s="29">
        <f>+I26+L26+M26+N26</f>
        <v>18549.223750000001</v>
      </c>
      <c r="Q26" s="54">
        <f>(P26-O26)/O26</f>
        <v>1.7525967380229004E-2</v>
      </c>
      <c r="R26" s="1"/>
      <c r="T26" s="7">
        <f>$T$20</f>
        <v>200</v>
      </c>
      <c r="U26" s="20">
        <f>$U$17*F26</f>
        <v>9540.369999999999</v>
      </c>
      <c r="V26" s="20">
        <f>$V$17*$A$24</f>
        <v>3284.3437676766575</v>
      </c>
      <c r="W26" s="20">
        <f>$W$17*$A$24</f>
        <v>2479.0046794381346</v>
      </c>
      <c r="X26" s="20">
        <f>$X$17*$A$24</f>
        <v>2344.0316478897789</v>
      </c>
      <c r="Y26" s="25">
        <f>T26+U26+V26+W26+X26</f>
        <v>17847.750095004569</v>
      </c>
      <c r="Z26" s="25"/>
      <c r="AA26" s="20"/>
      <c r="AD26" s="7">
        <f>$AD$20</f>
        <v>200.27874999999997</v>
      </c>
      <c r="AE26" s="20">
        <f>$AE$17*F26</f>
        <v>8336.9649999999983</v>
      </c>
      <c r="AF26" s="20">
        <f t="shared" si="3"/>
        <v>4455</v>
      </c>
      <c r="AG26" s="20">
        <f t="shared" si="4"/>
        <v>3370</v>
      </c>
      <c r="AH26" s="20">
        <f t="shared" si="5"/>
        <v>1805</v>
      </c>
      <c r="AI26" s="25">
        <f>AD26+AE26+AF26+AG26+AH26</f>
        <v>18167.243749999998</v>
      </c>
      <c r="AJ26" s="20"/>
      <c r="AK26" s="17"/>
      <c r="AL26" s="7">
        <f>AI26-Y26</f>
        <v>319.4936549954291</v>
      </c>
      <c r="AN26" s="18">
        <f>AI26/Y26-1</f>
        <v>1.7901060542351077E-2</v>
      </c>
    </row>
    <row r="27" spans="1:40" x14ac:dyDescent="0.2">
      <c r="A27" s="5"/>
      <c r="D27" s="13"/>
      <c r="F27" s="1"/>
      <c r="G27" s="1"/>
      <c r="H27" s="29"/>
      <c r="I27" s="29"/>
      <c r="K27" s="5"/>
      <c r="L27" s="1"/>
      <c r="M27" s="1"/>
      <c r="N27" s="1"/>
      <c r="Q27" s="54"/>
      <c r="R27" s="1"/>
      <c r="T27" s="7"/>
      <c r="U27" s="20"/>
      <c r="V27" s="20"/>
      <c r="W27" s="20"/>
      <c r="X27" s="20"/>
      <c r="Y27" s="25"/>
      <c r="Z27" s="25"/>
      <c r="AD27" s="7"/>
      <c r="AE27" s="20"/>
      <c r="AF27" s="20"/>
      <c r="AG27" s="20"/>
      <c r="AH27" s="20"/>
      <c r="AI27" s="25"/>
      <c r="AK27" s="17"/>
      <c r="AL27" s="6"/>
      <c r="AN27" s="6"/>
    </row>
    <row r="28" spans="1:40" x14ac:dyDescent="0.2">
      <c r="A28" s="94">
        <f>B28*AVERAGE($V$3:$V$7)</f>
        <v>899.82021032237196</v>
      </c>
      <c r="B28" s="1">
        <v>1000</v>
      </c>
      <c r="C28" s="1"/>
      <c r="D28" s="13">
        <v>0.3</v>
      </c>
      <c r="F28" s="1">
        <f>D28*($B$28*730)</f>
        <v>219000</v>
      </c>
      <c r="G28" s="1"/>
      <c r="H28" s="29">
        <f t="shared" si="0"/>
        <v>24592.220190009139</v>
      </c>
      <c r="I28" s="29">
        <f>+AI28</f>
        <v>26606.248749999999</v>
      </c>
      <c r="J28" s="29">
        <f>+I28-H28</f>
        <v>2014.0285599908602</v>
      </c>
      <c r="K28" s="54">
        <f>ROUND(+J28/H28,4)</f>
        <v>8.1900000000000001E-2</v>
      </c>
      <c r="L28" s="29">
        <f>ROUND($U$10*$F28,2)</f>
        <v>-124.5</v>
      </c>
      <c r="M28" s="29">
        <f>ROUND($U$11*$F28,2)</f>
        <v>3.99</v>
      </c>
      <c r="N28" s="29">
        <f>ROUND($U$12*$F28,2)</f>
        <v>447.93</v>
      </c>
      <c r="O28" s="29">
        <f>+H28+L28+M28+N28</f>
        <v>24919.64019000914</v>
      </c>
      <c r="P28" s="29">
        <f>+I28+L28+M28+N28</f>
        <v>26933.668750000001</v>
      </c>
      <c r="Q28" s="54">
        <f>(P28-O28)/O28</f>
        <v>8.0820932591086567E-2</v>
      </c>
      <c r="R28" s="1"/>
      <c r="T28" s="7">
        <f>$T$20</f>
        <v>200</v>
      </c>
      <c r="U28" s="20">
        <f>$U$17*F28</f>
        <v>8177.46</v>
      </c>
      <c r="V28" s="20">
        <f>$V$17*$A$28</f>
        <v>6568.6875353533151</v>
      </c>
      <c r="W28" s="20">
        <f>$W$17*$A$28</f>
        <v>4958.0093588762693</v>
      </c>
      <c r="X28" s="20">
        <f>$X$17*$A$28</f>
        <v>4688.0632957795578</v>
      </c>
      <c r="Y28" s="25">
        <f>T28+U28+V28+W28+X28</f>
        <v>24592.220190009139</v>
      </c>
      <c r="Z28" s="25"/>
      <c r="AA28" s="20"/>
      <c r="AD28" s="7">
        <f>$AD$20</f>
        <v>200.27874999999997</v>
      </c>
      <c r="AE28" s="20">
        <f>$AE$17*F28</f>
        <v>7145.97</v>
      </c>
      <c r="AF28" s="20">
        <f>$B$28*$AF$17</f>
        <v>8910</v>
      </c>
      <c r="AG28" s="20">
        <f>$B$28*$AG$17</f>
        <v>6740</v>
      </c>
      <c r="AH28" s="20">
        <f>$B$28*$AH$17</f>
        <v>3610</v>
      </c>
      <c r="AI28" s="25">
        <f>AD28+AE28+AF28+AG28+AH28</f>
        <v>26606.248749999999</v>
      </c>
      <c r="AJ28" s="20"/>
      <c r="AK28" s="17"/>
      <c r="AL28" s="7">
        <f>AI28-Y28</f>
        <v>2014.0285599908602</v>
      </c>
      <c r="AN28" s="18">
        <f>AI28/Y28-1</f>
        <v>8.1896979794003455E-2</v>
      </c>
    </row>
    <row r="29" spans="1:40" x14ac:dyDescent="0.2">
      <c r="A29" s="5"/>
      <c r="D29" s="13">
        <v>0.5</v>
      </c>
      <c r="F29" s="1">
        <f>D29*($B$28*730)</f>
        <v>365000</v>
      </c>
      <c r="G29" s="1"/>
      <c r="H29" s="29">
        <f t="shared" si="0"/>
        <v>30043.860190009138</v>
      </c>
      <c r="I29" s="29">
        <f>+AI29</f>
        <v>31370.228749999998</v>
      </c>
      <c r="J29" s="29">
        <f>+I29-H29</f>
        <v>1326.3685599908604</v>
      </c>
      <c r="K29" s="54">
        <f>ROUND(+J29/H29,4)</f>
        <v>4.41E-2</v>
      </c>
      <c r="L29" s="29">
        <f>ROUND($U$10*$F29,2)</f>
        <v>-207.51</v>
      </c>
      <c r="M29" s="29">
        <f>ROUND($U$11*$F29,2)</f>
        <v>6.64</v>
      </c>
      <c r="N29" s="29">
        <f>ROUND($U$12*$F29,2)</f>
        <v>746.55</v>
      </c>
      <c r="O29" s="29">
        <f>+H29+L29+M29+N29</f>
        <v>30589.540190009138</v>
      </c>
      <c r="P29" s="29">
        <f>+I29+L29+M29+N29</f>
        <v>31915.908749999999</v>
      </c>
      <c r="Q29" s="54">
        <f>(P29-O29)/O29</f>
        <v>4.3360199328006443E-2</v>
      </c>
      <c r="R29" s="1"/>
      <c r="T29" s="7">
        <f>$T$20</f>
        <v>200</v>
      </c>
      <c r="U29" s="20">
        <f>$U$17*F29</f>
        <v>13629.099999999999</v>
      </c>
      <c r="V29" s="20">
        <f>$V$17*$A$28</f>
        <v>6568.6875353533151</v>
      </c>
      <c r="W29" s="20">
        <f>$W$17*$A$28</f>
        <v>4958.0093588762693</v>
      </c>
      <c r="X29" s="20">
        <f>$X$17*$A$28</f>
        <v>4688.0632957795578</v>
      </c>
      <c r="Y29" s="25">
        <f>T29+U29+V29+W29+X29</f>
        <v>30043.860190009138</v>
      </c>
      <c r="Z29" s="25"/>
      <c r="AA29" s="20"/>
      <c r="AD29" s="7">
        <f>$AD$20</f>
        <v>200.27874999999997</v>
      </c>
      <c r="AE29" s="20">
        <f>$AE$17*F29</f>
        <v>11909.949999999999</v>
      </c>
      <c r="AF29" s="20">
        <f t="shared" ref="AF29:AF30" si="6">$B$28*$AF$17</f>
        <v>8910</v>
      </c>
      <c r="AG29" s="20">
        <f t="shared" ref="AG29:AG30" si="7">$B$28*$AG$17</f>
        <v>6740</v>
      </c>
      <c r="AH29" s="20">
        <f t="shared" ref="AH29:AH30" si="8">$B$28*$AH$17</f>
        <v>3610</v>
      </c>
      <c r="AI29" s="25">
        <f>AD29+AE29+AF29+AG29+AH29</f>
        <v>31370.228749999998</v>
      </c>
      <c r="AJ29" s="20"/>
      <c r="AK29" s="17"/>
      <c r="AL29" s="7">
        <f>AI29-Y29</f>
        <v>1326.3685599908604</v>
      </c>
      <c r="AN29" s="18">
        <f>AI29/Y29-1</f>
        <v>4.4147741055988954E-2</v>
      </c>
    </row>
    <row r="30" spans="1:40" x14ac:dyDescent="0.2">
      <c r="A30" s="5"/>
      <c r="D30" s="13">
        <v>0.7</v>
      </c>
      <c r="F30" s="1">
        <f>D30*($B$28*730)</f>
        <v>510999.99999999994</v>
      </c>
      <c r="G30" s="1"/>
      <c r="H30" s="29">
        <f t="shared" si="0"/>
        <v>35495.500190009137</v>
      </c>
      <c r="I30" s="29">
        <f>+AI30</f>
        <v>36134.208749999998</v>
      </c>
      <c r="J30" s="29">
        <f>+I30-H30</f>
        <v>638.70855999086052</v>
      </c>
      <c r="K30" s="54">
        <f>ROUND(+J30/H30,4)</f>
        <v>1.7999999999999999E-2</v>
      </c>
      <c r="L30" s="29">
        <f>ROUND($U$10*$F30,2)</f>
        <v>-290.51</v>
      </c>
      <c r="M30" s="29">
        <f>ROUND($U$11*$F30,2)</f>
        <v>9.3000000000000007</v>
      </c>
      <c r="N30" s="29">
        <f>ROUND($U$12*$F30,2)</f>
        <v>1045.17</v>
      </c>
      <c r="O30" s="29">
        <f>+H30+L30+M30+N30</f>
        <v>36259.460190009137</v>
      </c>
      <c r="P30" s="29">
        <f>+I30+L30+M30+N30</f>
        <v>36898.168749999997</v>
      </c>
      <c r="Q30" s="54">
        <f>(P30-O30)/O30</f>
        <v>1.761494949576908E-2</v>
      </c>
      <c r="R30" s="1"/>
      <c r="T30" s="7">
        <f>$T$20</f>
        <v>200</v>
      </c>
      <c r="U30" s="20">
        <f>$U$17*F30</f>
        <v>19080.739999999998</v>
      </c>
      <c r="V30" s="20">
        <f>$V$17*$A$28</f>
        <v>6568.6875353533151</v>
      </c>
      <c r="W30" s="20">
        <f>$W$17*$A$28</f>
        <v>4958.0093588762693</v>
      </c>
      <c r="X30" s="20">
        <f>$X$17*$A$28</f>
        <v>4688.0632957795578</v>
      </c>
      <c r="Y30" s="25">
        <f>T30+U30+V30+W30+X30</f>
        <v>35495.500190009137</v>
      </c>
      <c r="Z30" s="25"/>
      <c r="AA30" s="20"/>
      <c r="AD30" s="7">
        <f>$AD$20</f>
        <v>200.27874999999997</v>
      </c>
      <c r="AE30" s="20">
        <f>$AE$17*F30</f>
        <v>16673.929999999997</v>
      </c>
      <c r="AF30" s="20">
        <f t="shared" si="6"/>
        <v>8910</v>
      </c>
      <c r="AG30" s="20">
        <f t="shared" si="7"/>
        <v>6740</v>
      </c>
      <c r="AH30" s="20">
        <f t="shared" si="8"/>
        <v>3610</v>
      </c>
      <c r="AI30" s="25">
        <f>AD30+AE30+AF30+AG30+AH30</f>
        <v>36134.208749999998</v>
      </c>
      <c r="AJ30" s="20"/>
      <c r="AK30" s="17"/>
      <c r="AL30" s="7">
        <f>AI30-Y30</f>
        <v>638.70855999086052</v>
      </c>
      <c r="AN30" s="18">
        <f>AI30/Y30-1</f>
        <v>1.799407126457786E-2</v>
      </c>
    </row>
    <row r="31" spans="1:40" x14ac:dyDescent="0.2">
      <c r="A31" s="5"/>
      <c r="D31" s="13"/>
      <c r="F31" s="1"/>
      <c r="G31" s="1"/>
      <c r="H31" s="29"/>
      <c r="I31" s="29"/>
      <c r="K31" s="5"/>
      <c r="L31" s="1"/>
      <c r="M31" s="1"/>
      <c r="N31" s="1"/>
      <c r="Q31" s="54"/>
      <c r="R31" s="1"/>
      <c r="T31" s="7"/>
      <c r="U31" s="20"/>
      <c r="V31" s="20"/>
      <c r="W31" s="20"/>
      <c r="X31" s="20"/>
      <c r="Y31" s="25"/>
      <c r="Z31" s="25"/>
      <c r="AD31" s="7"/>
      <c r="AE31" s="20"/>
      <c r="AF31" s="20"/>
      <c r="AG31" s="20"/>
      <c r="AH31" s="20"/>
      <c r="AI31" s="25"/>
      <c r="AK31" s="17"/>
      <c r="AL31" s="6"/>
      <c r="AN31" s="6"/>
    </row>
    <row r="32" spans="1:40" x14ac:dyDescent="0.2">
      <c r="A32" s="94">
        <f>B32*AVERAGE($V$3:$V$7)</f>
        <v>2249.5505258059297</v>
      </c>
      <c r="B32" s="1">
        <v>2500</v>
      </c>
      <c r="C32" s="1"/>
      <c r="D32" s="13">
        <v>0.3</v>
      </c>
      <c r="F32" s="1">
        <f>D32*($B$32*730)</f>
        <v>547500</v>
      </c>
      <c r="G32" s="1"/>
      <c r="H32" s="29">
        <f t="shared" si="0"/>
        <v>61180.55047502285</v>
      </c>
      <c r="I32" s="29">
        <f>+AI32</f>
        <v>66215.203750000001</v>
      </c>
      <c r="J32" s="29">
        <f>+I32-H32</f>
        <v>5034.6532749771504</v>
      </c>
      <c r="K32" s="54">
        <f>ROUND(+J32/H32,4)</f>
        <v>8.2299999999999998E-2</v>
      </c>
      <c r="L32" s="29">
        <f>ROUND($U$10*$F32,2)</f>
        <v>-311.26</v>
      </c>
      <c r="M32" s="29">
        <f>ROUND($U$11*$F32,2)</f>
        <v>9.9700000000000006</v>
      </c>
      <c r="N32" s="29">
        <f>ROUND($U$12*$F32,2)</f>
        <v>1119.82</v>
      </c>
      <c r="O32" s="29">
        <f>+H32+L32+M32+N32</f>
        <v>61999.080475022849</v>
      </c>
      <c r="P32" s="29">
        <f>+I32+L32+M32+N32</f>
        <v>67033.733750000014</v>
      </c>
      <c r="Q32" s="54">
        <f>(P32-O32)/O32</f>
        <v>8.1205289439823899E-2</v>
      </c>
      <c r="R32" s="1"/>
      <c r="T32" s="7">
        <f>$T$20</f>
        <v>200</v>
      </c>
      <c r="U32" s="20">
        <f>$U$17*F32</f>
        <v>20443.649999999998</v>
      </c>
      <c r="V32" s="20">
        <f>$V$17*$A$32</f>
        <v>16421.718838383287</v>
      </c>
      <c r="W32" s="20">
        <f>$W$17*$A$32</f>
        <v>12395.023397190673</v>
      </c>
      <c r="X32" s="20">
        <f>$X$17*$A$32</f>
        <v>11720.158239448894</v>
      </c>
      <c r="Y32" s="25">
        <f>T32+U32+V32+W32+X32</f>
        <v>61180.55047502285</v>
      </c>
      <c r="Z32" s="25"/>
      <c r="AA32" s="20"/>
      <c r="AD32" s="7">
        <f>$AD$20</f>
        <v>200.27874999999997</v>
      </c>
      <c r="AE32" s="20">
        <f>$AE$17*F32</f>
        <v>17864.924999999999</v>
      </c>
      <c r="AF32" s="20">
        <f>$B$32*$AF$17</f>
        <v>22275</v>
      </c>
      <c r="AG32" s="20">
        <f>$B$32*$AG$17</f>
        <v>16850</v>
      </c>
      <c r="AH32" s="20">
        <f>$B$32*$AH$17</f>
        <v>9025</v>
      </c>
      <c r="AI32" s="25">
        <f>AD32+AE32+AF32+AG32+AH32</f>
        <v>66215.203750000001</v>
      </c>
      <c r="AJ32" s="20"/>
      <c r="AK32" s="17"/>
      <c r="AL32" s="7">
        <f>AI32-Y32</f>
        <v>5034.6532749771504</v>
      </c>
      <c r="AN32" s="18">
        <f>AI32/Y32-1</f>
        <v>8.2291728921801033E-2</v>
      </c>
    </row>
    <row r="33" spans="1:40" x14ac:dyDescent="0.2">
      <c r="A33" s="5"/>
      <c r="D33" s="13">
        <v>0.5</v>
      </c>
      <c r="F33" s="1">
        <f>D33*($B$32*730)</f>
        <v>912500</v>
      </c>
      <c r="G33" s="1"/>
      <c r="H33" s="29">
        <f t="shared" si="0"/>
        <v>74809.650475022849</v>
      </c>
      <c r="I33" s="29">
        <f>+AI33</f>
        <v>78125.153749999998</v>
      </c>
      <c r="J33" s="29">
        <f>+I33-H33</f>
        <v>3315.503274977149</v>
      </c>
      <c r="K33" s="54">
        <f>ROUND(+J33/H33,4)</f>
        <v>4.4299999999999999E-2</v>
      </c>
      <c r="L33" s="29">
        <f>ROUND($U$10*$F33,2)</f>
        <v>-518.77</v>
      </c>
      <c r="M33" s="29">
        <f>ROUND($U$11*$F33,2)</f>
        <v>16.61</v>
      </c>
      <c r="N33" s="29">
        <f>ROUND($U$12*$F33,2)</f>
        <v>1866.37</v>
      </c>
      <c r="O33" s="29">
        <f>+H33+L33+M33+N33</f>
        <v>76173.860475022841</v>
      </c>
      <c r="P33" s="29">
        <f>+I33+L33+M33+N33</f>
        <v>79489.36374999999</v>
      </c>
      <c r="Q33" s="54">
        <f>(P33-O33)/O33</f>
        <v>4.3525472574207941E-2</v>
      </c>
      <c r="R33" s="1"/>
      <c r="T33" s="7">
        <f>$T$20</f>
        <v>200</v>
      </c>
      <c r="U33" s="20">
        <f>$U$17*F33</f>
        <v>34072.75</v>
      </c>
      <c r="V33" s="20">
        <f>$V$17*$A$32</f>
        <v>16421.718838383287</v>
      </c>
      <c r="W33" s="20">
        <f t="shared" ref="W33:W34" si="9">$W$17*$A$32</f>
        <v>12395.023397190673</v>
      </c>
      <c r="X33" s="20">
        <f>$X$17*$A$32</f>
        <v>11720.158239448894</v>
      </c>
      <c r="Y33" s="25">
        <f>T33+U33+V33+W33+X33</f>
        <v>74809.650475022849</v>
      </c>
      <c r="Z33" s="25"/>
      <c r="AA33" s="20"/>
      <c r="AD33" s="7">
        <f>$AD$20</f>
        <v>200.27874999999997</v>
      </c>
      <c r="AE33" s="20">
        <f>$AE$17*F33</f>
        <v>29774.875</v>
      </c>
      <c r="AF33" s="20">
        <f t="shared" ref="AF33:AF34" si="10">$B$32*$AF$17</f>
        <v>22275</v>
      </c>
      <c r="AG33" s="20">
        <f t="shared" ref="AG33:AG34" si="11">$B$32*$AG$17</f>
        <v>16850</v>
      </c>
      <c r="AH33" s="20">
        <f t="shared" ref="AH33:AH34" si="12">$B$32*$AH$17</f>
        <v>9025</v>
      </c>
      <c r="AI33" s="25">
        <f>AD33+AE33+AF33+AG33+AH33</f>
        <v>78125.153749999998</v>
      </c>
      <c r="AJ33" s="20"/>
      <c r="AK33" s="17"/>
      <c r="AL33" s="7">
        <f>AI33-Y33</f>
        <v>3315.503274977149</v>
      </c>
      <c r="AN33" s="18">
        <f>AI33/Y33-1</f>
        <v>4.4319192162034282E-2</v>
      </c>
    </row>
    <row r="34" spans="1:40" x14ac:dyDescent="0.2">
      <c r="A34" s="5"/>
      <c r="D34" s="13">
        <v>0.7</v>
      </c>
      <c r="F34" s="1">
        <f>D34*($B$32*730)</f>
        <v>1277500</v>
      </c>
      <c r="G34" s="1"/>
      <c r="H34" s="29">
        <f t="shared" si="0"/>
        <v>88438.750475022855</v>
      </c>
      <c r="I34" s="29">
        <f>+AI34</f>
        <v>90035.103749999995</v>
      </c>
      <c r="J34" s="29">
        <f>+I34-H34</f>
        <v>1596.3532749771402</v>
      </c>
      <c r="K34" s="54">
        <f>ROUND(+J34/H34,4)</f>
        <v>1.8100000000000002E-2</v>
      </c>
      <c r="L34" s="29">
        <f>ROUND($U$10*$F34,2)</f>
        <v>-726.27</v>
      </c>
      <c r="M34" s="29">
        <f>ROUND($U$11*$F34,2)</f>
        <v>23.25</v>
      </c>
      <c r="N34" s="29">
        <f>ROUND($U$12*$F34,2)</f>
        <v>2612.92</v>
      </c>
      <c r="O34" s="29">
        <f>+H34+L34+M34+N34</f>
        <v>90348.650475022849</v>
      </c>
      <c r="P34" s="29">
        <f>+I34+L34+M34+N34</f>
        <v>91945.003749999989</v>
      </c>
      <c r="Q34" s="54">
        <f>(P34-O34)/O34</f>
        <v>1.7668811505031353E-2</v>
      </c>
      <c r="R34" s="1"/>
      <c r="T34" s="7">
        <f>$T$20</f>
        <v>200</v>
      </c>
      <c r="U34" s="20">
        <f>$U$17*F34</f>
        <v>47701.85</v>
      </c>
      <c r="V34" s="20">
        <f>$V$17*$A$32</f>
        <v>16421.718838383287</v>
      </c>
      <c r="W34" s="20">
        <f t="shared" si="9"/>
        <v>12395.023397190673</v>
      </c>
      <c r="X34" s="20">
        <f>$X$17*$A$32</f>
        <v>11720.158239448894</v>
      </c>
      <c r="Y34" s="25">
        <f>T34+U34+V34+W34+X34</f>
        <v>88438.750475022855</v>
      </c>
      <c r="Z34" s="25"/>
      <c r="AA34" s="20"/>
      <c r="AD34" s="7">
        <f>$AD$20</f>
        <v>200.27874999999997</v>
      </c>
      <c r="AE34" s="20">
        <f>$AE$17*F34</f>
        <v>41684.824999999997</v>
      </c>
      <c r="AF34" s="20">
        <f t="shared" si="10"/>
        <v>22275</v>
      </c>
      <c r="AG34" s="20">
        <f t="shared" si="11"/>
        <v>16850</v>
      </c>
      <c r="AH34" s="20">
        <f t="shared" si="12"/>
        <v>9025</v>
      </c>
      <c r="AI34" s="25">
        <f>AD34+AE34+AF34+AG34+AH34</f>
        <v>90035.103749999995</v>
      </c>
      <c r="AJ34" s="20"/>
      <c r="AK34" s="17"/>
      <c r="AL34" s="7">
        <f>AI34-Y34</f>
        <v>1596.3532749771402</v>
      </c>
      <c r="AN34" s="18">
        <f>AI34/Y34-1</f>
        <v>1.8050382512222241E-2</v>
      </c>
    </row>
    <row r="35" spans="1:40" x14ac:dyDescent="0.2">
      <c r="A35" s="5"/>
      <c r="D35" s="13"/>
      <c r="F35" s="1"/>
      <c r="G35" s="1"/>
      <c r="H35" s="29"/>
      <c r="I35" s="29"/>
      <c r="K35" s="5"/>
      <c r="L35" s="1"/>
      <c r="M35" s="1"/>
      <c r="N35" s="1"/>
      <c r="Q35" s="54"/>
      <c r="R35" s="1"/>
      <c r="T35" s="7"/>
      <c r="U35" s="20"/>
      <c r="V35" s="20"/>
      <c r="W35" s="20"/>
      <c r="X35" s="20"/>
      <c r="Y35" s="25"/>
      <c r="Z35" s="25"/>
      <c r="AD35" s="7"/>
      <c r="AE35" s="20"/>
      <c r="AF35" s="20"/>
      <c r="AG35" s="20"/>
      <c r="AH35" s="20"/>
      <c r="AI35" s="25"/>
      <c r="AK35" s="17"/>
      <c r="AL35" s="6"/>
      <c r="AN35" s="6"/>
    </row>
    <row r="36" spans="1:40" x14ac:dyDescent="0.2">
      <c r="A36" s="94">
        <f>B36*AVERAGE($V$3:$V$7)</f>
        <v>4499.1010516118595</v>
      </c>
      <c r="B36" s="1">
        <v>5000</v>
      </c>
      <c r="C36" s="1"/>
      <c r="D36" s="13">
        <v>0.3</v>
      </c>
      <c r="F36" s="1">
        <f>D36*($B$36*730)</f>
        <v>1095000</v>
      </c>
      <c r="G36" s="1"/>
      <c r="H36" s="29">
        <f t="shared" si="0"/>
        <v>122161.1009500457</v>
      </c>
      <c r="I36" s="29">
        <f>+AI36</f>
        <v>132230.12875</v>
      </c>
      <c r="J36" s="29">
        <f>+I36-H36</f>
        <v>10069.027799954303</v>
      </c>
      <c r="K36" s="54">
        <f>ROUND(+J36/H36,4)</f>
        <v>8.2400000000000001E-2</v>
      </c>
      <c r="L36" s="29">
        <f>ROUND($U$10*$F36,2)</f>
        <v>-622.52</v>
      </c>
      <c r="M36" s="29">
        <f>ROUND($U$11*$F36,2)</f>
        <v>19.93</v>
      </c>
      <c r="N36" s="29">
        <f>ROUND($U$12*$F36,2)</f>
        <v>2239.65</v>
      </c>
      <c r="O36" s="29">
        <f>+H36+L36+M36+N36</f>
        <v>123798.16095004568</v>
      </c>
      <c r="P36" s="29">
        <f>+I36+L36+M36+N36</f>
        <v>133867.18875</v>
      </c>
      <c r="Q36" s="54">
        <f>(P36-O36)/O36</f>
        <v>8.1334227606315687E-2</v>
      </c>
      <c r="R36" s="1"/>
      <c r="T36" s="7">
        <f>$T$20</f>
        <v>200</v>
      </c>
      <c r="U36" s="20">
        <f>$U$17*F36</f>
        <v>40887.299999999996</v>
      </c>
      <c r="V36" s="20">
        <f>$V$17*$A$36</f>
        <v>32843.437676766574</v>
      </c>
      <c r="W36" s="20">
        <f>$W$17*$A$36</f>
        <v>24790.046794381346</v>
      </c>
      <c r="X36" s="20">
        <f t="shared" ref="X36:X38" si="13">$X$17*$A$36</f>
        <v>23440.316478897788</v>
      </c>
      <c r="Y36" s="25">
        <f>T36+U36+V36+W36+X36</f>
        <v>122161.1009500457</v>
      </c>
      <c r="Z36" s="25"/>
      <c r="AA36" s="20"/>
      <c r="AD36" s="7">
        <f>$AD$20</f>
        <v>200.27874999999997</v>
      </c>
      <c r="AE36" s="20">
        <f>$AE$17*F36</f>
        <v>35729.85</v>
      </c>
      <c r="AF36" s="20">
        <f>$B$36*$AF$17</f>
        <v>44550</v>
      </c>
      <c r="AG36" s="20">
        <f>$B$36*$AG$17</f>
        <v>33700</v>
      </c>
      <c r="AH36" s="20">
        <f>$B$36*$AH$17</f>
        <v>18050</v>
      </c>
      <c r="AI36" s="25">
        <f>AD36+AE36+AF36+AG36+AH36</f>
        <v>132230.12875</v>
      </c>
      <c r="AJ36" s="20"/>
      <c r="AK36" s="17"/>
      <c r="AL36" s="7">
        <f>AI36-Y36</f>
        <v>10069.027799954303</v>
      </c>
      <c r="AN36" s="18">
        <f>AI36/Y36-1</f>
        <v>8.2424173666147071E-2</v>
      </c>
    </row>
    <row r="37" spans="1:40" x14ac:dyDescent="0.2">
      <c r="D37" s="13">
        <v>0.5</v>
      </c>
      <c r="F37" s="1">
        <f>D37*($B$36*730)</f>
        <v>1825000</v>
      </c>
      <c r="G37" s="1"/>
      <c r="H37" s="29">
        <f t="shared" si="0"/>
        <v>149419.3009500457</v>
      </c>
      <c r="I37" s="29">
        <f>+AI37</f>
        <v>156050.02875</v>
      </c>
      <c r="J37" s="29">
        <f>+I37-H37</f>
        <v>6630.7277999543003</v>
      </c>
      <c r="K37" s="54">
        <f>ROUND(+J37/H37,4)</f>
        <v>4.4400000000000002E-2</v>
      </c>
      <c r="L37" s="29">
        <f>ROUND($U$10*$F37,2)</f>
        <v>-1037.53</v>
      </c>
      <c r="M37" s="29">
        <f>ROUND($U$11*$F37,2)</f>
        <v>33.22</v>
      </c>
      <c r="N37" s="29">
        <f>ROUND($U$12*$F37,2)</f>
        <v>3732.75</v>
      </c>
      <c r="O37" s="29">
        <f>+H37+L37+M37+N37</f>
        <v>152147.7409500457</v>
      </c>
      <c r="P37" s="29">
        <f>+I37+L37+M37+N37</f>
        <v>158778.46875</v>
      </c>
      <c r="Q37" s="54">
        <f>(P37-O37)/O37</f>
        <v>4.3580849498983693E-2</v>
      </c>
      <c r="R37" s="1"/>
      <c r="T37" s="7">
        <f>$T$20</f>
        <v>200</v>
      </c>
      <c r="U37" s="20">
        <f>$U$17*F37</f>
        <v>68145.5</v>
      </c>
      <c r="V37" s="20">
        <f>$V$17*$A$36</f>
        <v>32843.437676766574</v>
      </c>
      <c r="W37" s="20">
        <f>$W$17*$A$36</f>
        <v>24790.046794381346</v>
      </c>
      <c r="X37" s="20">
        <f t="shared" si="13"/>
        <v>23440.316478897788</v>
      </c>
      <c r="Y37" s="25">
        <f>T37+U37+V37+W37+X37</f>
        <v>149419.3009500457</v>
      </c>
      <c r="Z37" s="25"/>
      <c r="AA37" s="20"/>
      <c r="AD37" s="7">
        <f>$AD$20</f>
        <v>200.27874999999997</v>
      </c>
      <c r="AE37" s="20">
        <f>$AE$17*F37</f>
        <v>59549.75</v>
      </c>
      <c r="AF37" s="20">
        <f t="shared" ref="AF37:AF38" si="14">$B$36*$AF$17</f>
        <v>44550</v>
      </c>
      <c r="AG37" s="20">
        <f t="shared" ref="AG37:AG38" si="15">$B$36*$AG$17</f>
        <v>33700</v>
      </c>
      <c r="AH37" s="20">
        <f t="shared" ref="AH37:AH38" si="16">$B$36*$AH$17</f>
        <v>18050</v>
      </c>
      <c r="AI37" s="25">
        <f>AD37+AE37+AF37+AG37+AH37</f>
        <v>156050.02875</v>
      </c>
      <c r="AJ37" s="20"/>
      <c r="AK37" s="17"/>
      <c r="AL37" s="7">
        <f>AI37-Y37</f>
        <v>6630.7277999543003</v>
      </c>
      <c r="AN37" s="18">
        <f>AI37/Y37-1</f>
        <v>4.437664851725609E-2</v>
      </c>
    </row>
    <row r="38" spans="1:40" x14ac:dyDescent="0.2">
      <c r="D38" s="13">
        <v>0.7</v>
      </c>
      <c r="F38" s="1">
        <f>D38*($B$36*730)</f>
        <v>2555000</v>
      </c>
      <c r="G38" s="1"/>
      <c r="H38" s="29">
        <f t="shared" si="0"/>
        <v>176677.50095004571</v>
      </c>
      <c r="I38" s="29">
        <f>+AI38</f>
        <v>179869.92874999999</v>
      </c>
      <c r="J38" s="29">
        <f>+I38-H38</f>
        <v>3192.4277999542828</v>
      </c>
      <c r="K38" s="54">
        <f>ROUND(+J38/H38,4)</f>
        <v>1.8100000000000002E-2</v>
      </c>
      <c r="L38" s="29">
        <f>ROUND($U$10*$F38,2)</f>
        <v>-1452.54</v>
      </c>
      <c r="M38" s="29">
        <f>ROUND($U$11*$F38,2)</f>
        <v>46.51</v>
      </c>
      <c r="N38" s="29">
        <f>ROUND($U$12*$F38,2)</f>
        <v>5225.8500000000004</v>
      </c>
      <c r="O38" s="29">
        <f>+H38+L38+M38+N38</f>
        <v>180497.32095004572</v>
      </c>
      <c r="P38" s="29">
        <f>+I38+L38+M38+N38</f>
        <v>183689.74875</v>
      </c>
      <c r="Q38" s="54">
        <f>(P38-O38)/O38</f>
        <v>1.7686843124047346E-2</v>
      </c>
      <c r="R38" s="1"/>
      <c r="T38" s="7">
        <f>$T$20</f>
        <v>200</v>
      </c>
      <c r="U38" s="20">
        <f>$U$17*F38</f>
        <v>95403.7</v>
      </c>
      <c r="V38" s="20">
        <f>$V$17*$A$36</f>
        <v>32843.437676766574</v>
      </c>
      <c r="W38" s="20">
        <f>$W$17*$A$36</f>
        <v>24790.046794381346</v>
      </c>
      <c r="X38" s="20">
        <f t="shared" si="13"/>
        <v>23440.316478897788</v>
      </c>
      <c r="Y38" s="25">
        <f>T38+U38+V38+W38+X38</f>
        <v>176677.50095004571</v>
      </c>
      <c r="Z38" s="25"/>
      <c r="AA38" s="20"/>
      <c r="AD38" s="7">
        <f>$AD$20</f>
        <v>200.27874999999997</v>
      </c>
      <c r="AE38" s="20">
        <f>$AE$17*F38</f>
        <v>83369.649999999994</v>
      </c>
      <c r="AF38" s="20">
        <f t="shared" si="14"/>
        <v>44550</v>
      </c>
      <c r="AG38" s="20">
        <f t="shared" si="15"/>
        <v>33700</v>
      </c>
      <c r="AH38" s="20">
        <f t="shared" si="16"/>
        <v>18050</v>
      </c>
      <c r="AI38" s="25">
        <f>AD38+AE38+AF38+AG38+AH38</f>
        <v>179869.92874999999</v>
      </c>
      <c r="AJ38" s="20"/>
      <c r="AK38" s="17"/>
      <c r="AL38" s="7">
        <f>AI38-Y38</f>
        <v>3192.4277999542828</v>
      </c>
      <c r="AN38" s="18">
        <f>AI38/Y38-1</f>
        <v>1.8069237921001235E-2</v>
      </c>
    </row>
    <row r="39" spans="1:40" x14ac:dyDescent="0.2">
      <c r="U39" s="20"/>
      <c r="V39" s="20"/>
      <c r="W39" s="20"/>
      <c r="X39" s="20"/>
      <c r="Y39" s="20"/>
      <c r="Z39" s="20"/>
    </row>
    <row r="40" spans="1:40" x14ac:dyDescent="0.2">
      <c r="A40" s="17" t="s">
        <v>314</v>
      </c>
      <c r="B40" s="17"/>
      <c r="U40" s="20"/>
      <c r="V40" s="20"/>
      <c r="W40" s="20"/>
      <c r="X40" s="20"/>
      <c r="Y40" s="20"/>
      <c r="Z40" s="20"/>
    </row>
    <row r="41" spans="1:40" x14ac:dyDescent="0.2">
      <c r="A41" s="170" t="str">
        <f>("Average usage = "&amp;TEXT(INPUT!J20*1,"0,000")&amp;" kWh per month")</f>
        <v>Average usage = 227,989 kWh per month</v>
      </c>
      <c r="B41" s="170"/>
      <c r="U41" s="20"/>
      <c r="V41" s="20"/>
      <c r="W41" s="20"/>
      <c r="X41" s="20"/>
      <c r="Y41" s="20"/>
      <c r="Z41" s="20"/>
    </row>
    <row r="42" spans="1:40" x14ac:dyDescent="0.2">
      <c r="A42" s="172" t="s">
        <v>315</v>
      </c>
      <c r="B42" s="172"/>
      <c r="D42" s="13"/>
      <c r="F42" s="1"/>
      <c r="G42" s="1"/>
      <c r="H42" s="1"/>
      <c r="I42" s="1"/>
      <c r="J42" s="1"/>
      <c r="K42" s="1"/>
      <c r="L42" s="1"/>
      <c r="M42" s="1"/>
      <c r="N42" s="1"/>
      <c r="O42" s="163"/>
      <c r="P42" s="1"/>
      <c r="Q42" s="164"/>
      <c r="R42" s="1"/>
      <c r="AF42" s="31"/>
      <c r="AG42" s="20"/>
      <c r="AH42" s="20"/>
      <c r="AI42" s="20"/>
      <c r="AJ42" s="20"/>
      <c r="AK42" s="20"/>
      <c r="AL42" s="6"/>
    </row>
    <row r="43" spans="1:40" x14ac:dyDescent="0.2">
      <c r="A43" s="173" t="s">
        <v>96</v>
      </c>
      <c r="B43" s="17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U43" s="12"/>
      <c r="AF43" s="9"/>
    </row>
    <row r="44" spans="1:40" x14ac:dyDescent="0.2">
      <c r="A44" s="173" t="str">
        <f>+'Rate Case Constants'!C26</f>
        <v>Calculations may vary from other schedules due to rounding</v>
      </c>
      <c r="B44" s="17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B44" s="3"/>
      <c r="AC44" s="2"/>
      <c r="AD44" s="3"/>
      <c r="AF44" s="3"/>
    </row>
    <row r="45" spans="1:40" x14ac:dyDescent="0.2">
      <c r="A45" s="58"/>
      <c r="B45" s="58"/>
      <c r="AF45" s="9"/>
    </row>
    <row r="46" spans="1:40" x14ac:dyDescent="0.2">
      <c r="T46" s="3"/>
      <c r="X46" s="3"/>
      <c r="AB46" s="3"/>
      <c r="AF46" s="9"/>
    </row>
    <row r="47" spans="1:40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B47" s="3"/>
      <c r="AC47" s="2"/>
      <c r="AD47" s="3"/>
      <c r="AF47" s="3"/>
    </row>
    <row r="48" spans="1:40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  <c r="AC48" s="2"/>
      <c r="AD48" s="3"/>
      <c r="AF48" s="3"/>
    </row>
    <row r="49" spans="6:32" x14ac:dyDescent="0.2">
      <c r="F49" s="3"/>
      <c r="G49" s="3"/>
      <c r="H49" s="3"/>
      <c r="I49" s="3"/>
      <c r="J49" s="3"/>
      <c r="K49" s="3"/>
      <c r="O49" s="3"/>
      <c r="P49" s="3"/>
      <c r="Q49" s="3"/>
      <c r="R49" s="3"/>
      <c r="S49" s="3"/>
      <c r="U49" s="3"/>
      <c r="V49" s="3"/>
      <c r="W49" s="3"/>
      <c r="X49" s="3"/>
      <c r="Y49" s="3"/>
      <c r="Z49" s="3"/>
    </row>
    <row r="50" spans="6:32" x14ac:dyDescent="0.2">
      <c r="F50" s="1"/>
      <c r="G50" s="1"/>
      <c r="H50" s="1"/>
      <c r="I50" s="1"/>
      <c r="J50" s="1"/>
      <c r="K50" s="1"/>
      <c r="O50" s="1"/>
      <c r="P50" s="1"/>
      <c r="Q50" s="1"/>
      <c r="R50" s="1"/>
      <c r="T50" s="7"/>
      <c r="U50" s="12"/>
      <c r="X50" s="12"/>
      <c r="Y50" s="12"/>
      <c r="Z50" s="12"/>
      <c r="AB50" s="6"/>
      <c r="AD50" s="6"/>
      <c r="AF50" s="9"/>
    </row>
    <row r="51" spans="6:32" x14ac:dyDescent="0.2">
      <c r="F51" s="1"/>
      <c r="G51" s="1"/>
      <c r="H51" s="1"/>
      <c r="I51" s="1"/>
      <c r="J51" s="1"/>
      <c r="K51" s="1"/>
      <c r="O51" s="1"/>
      <c r="P51" s="1"/>
      <c r="Q51" s="1"/>
      <c r="R51" s="1"/>
      <c r="T51" s="7"/>
      <c r="U51" s="12"/>
      <c r="X51" s="12"/>
      <c r="Y51" s="12"/>
      <c r="Z51" s="12"/>
      <c r="AB51" s="6"/>
      <c r="AD51" s="6"/>
      <c r="AF51" s="9"/>
    </row>
    <row r="52" spans="6:32" x14ac:dyDescent="0.2">
      <c r="F52" s="1"/>
      <c r="G52" s="1"/>
      <c r="H52" s="1"/>
      <c r="I52" s="1"/>
      <c r="J52" s="1"/>
      <c r="K52" s="1"/>
      <c r="O52" s="1"/>
      <c r="P52" s="1"/>
      <c r="Q52" s="1"/>
      <c r="R52" s="1"/>
      <c r="T52" s="7"/>
      <c r="U52" s="12"/>
      <c r="X52" s="12"/>
      <c r="Y52" s="12"/>
      <c r="Z52" s="12"/>
      <c r="AB52" s="6"/>
      <c r="AD52" s="6"/>
      <c r="AF52" s="9"/>
    </row>
    <row r="53" spans="6:32" x14ac:dyDescent="0.2">
      <c r="F53" s="1"/>
      <c r="G53" s="1"/>
      <c r="H53" s="1"/>
      <c r="I53" s="1"/>
      <c r="J53" s="1"/>
      <c r="K53" s="1"/>
      <c r="O53" s="1"/>
      <c r="P53" s="1"/>
      <c r="Q53" s="1"/>
      <c r="R53" s="1"/>
      <c r="T53" s="7"/>
      <c r="U53" s="12"/>
      <c r="X53" s="12"/>
      <c r="Y53" s="12"/>
      <c r="Z53" s="12"/>
      <c r="AB53" s="6"/>
      <c r="AC53" s="10"/>
      <c r="AD53" s="6"/>
      <c r="AE53" s="10"/>
      <c r="AF53" s="9"/>
    </row>
    <row r="54" spans="6:32" x14ac:dyDescent="0.2">
      <c r="F54" s="1"/>
      <c r="G54" s="1"/>
      <c r="H54" s="1"/>
      <c r="I54" s="1"/>
      <c r="J54" s="1"/>
      <c r="K54" s="1"/>
      <c r="O54" s="1"/>
      <c r="P54" s="1"/>
      <c r="Q54" s="1"/>
      <c r="R54" s="1"/>
      <c r="T54" s="7"/>
      <c r="U54" s="12"/>
      <c r="X54" s="12"/>
      <c r="Y54" s="12"/>
      <c r="Z54" s="12"/>
      <c r="AB54" s="6"/>
      <c r="AC54" s="10"/>
      <c r="AD54" s="6"/>
      <c r="AE54" s="10"/>
      <c r="AF54" s="9"/>
    </row>
    <row r="55" spans="6:32" x14ac:dyDescent="0.2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T55" s="7"/>
      <c r="U55" s="12"/>
      <c r="X55" s="12"/>
      <c r="Y55" s="12"/>
      <c r="Z55" s="12"/>
      <c r="AB55" s="6"/>
      <c r="AD55" s="6"/>
      <c r="AF55" s="9"/>
    </row>
    <row r="56" spans="6:32" x14ac:dyDescent="0.2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T56" s="7"/>
      <c r="U56" s="12"/>
      <c r="X56" s="12"/>
      <c r="Y56" s="12"/>
      <c r="Z56" s="12"/>
      <c r="AB56" s="6"/>
      <c r="AD56" s="6"/>
      <c r="AF56" s="9"/>
    </row>
    <row r="57" spans="6:32" x14ac:dyDescent="0.2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T57" s="7"/>
      <c r="U57" s="12"/>
      <c r="X57" s="12"/>
      <c r="Y57" s="12"/>
      <c r="Z57" s="12"/>
      <c r="AB57" s="6"/>
      <c r="AD57" s="6"/>
      <c r="AF57" s="9"/>
    </row>
    <row r="58" spans="6:32" x14ac:dyDescent="0.2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T58" s="7"/>
      <c r="U58" s="12"/>
      <c r="X58" s="12"/>
      <c r="Y58" s="12"/>
      <c r="Z58" s="12"/>
      <c r="AB58" s="6"/>
      <c r="AD58" s="6"/>
      <c r="AF58" s="9"/>
    </row>
    <row r="59" spans="6:32" x14ac:dyDescent="0.2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7"/>
      <c r="U59" s="12"/>
      <c r="X59" s="12"/>
      <c r="Y59" s="12"/>
      <c r="Z59" s="12"/>
      <c r="AB59" s="6"/>
      <c r="AD59" s="6"/>
      <c r="AF59" s="9"/>
    </row>
    <row r="60" spans="6:32" ht="6.75" customHeight="1" x14ac:dyDescent="0.2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 s="7"/>
      <c r="U60" s="12"/>
      <c r="X60" s="12"/>
      <c r="Y60" s="12"/>
      <c r="Z60" s="12"/>
      <c r="AB60" s="6"/>
      <c r="AD60" s="6"/>
      <c r="AF60" s="9"/>
    </row>
    <row r="61" spans="6:32" x14ac:dyDescent="0.2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7"/>
      <c r="U61" s="12"/>
      <c r="X61" s="12"/>
      <c r="Y61" s="12"/>
      <c r="Z61" s="12"/>
      <c r="AB61" s="6"/>
      <c r="AD61" s="6"/>
      <c r="AF61" s="9"/>
    </row>
    <row r="62" spans="6:32" x14ac:dyDescent="0.2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T62" s="7"/>
      <c r="U62" s="12"/>
      <c r="X62" s="12"/>
      <c r="Y62" s="12"/>
      <c r="Z62" s="12"/>
      <c r="AB62" s="6"/>
      <c r="AD62" s="6"/>
      <c r="AF62" s="9"/>
    </row>
    <row r="63" spans="6:32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T63" s="7"/>
      <c r="U63" s="12"/>
      <c r="X63" s="12"/>
      <c r="Y63" s="12"/>
      <c r="Z63" s="12"/>
      <c r="AB63" s="6"/>
      <c r="AD63" s="6"/>
      <c r="AF63" s="9"/>
    </row>
    <row r="64" spans="6:32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T64" s="7"/>
      <c r="U64" s="12"/>
      <c r="X64" s="12"/>
      <c r="Y64" s="12"/>
      <c r="Z64" s="12"/>
      <c r="AB64" s="6"/>
      <c r="AD64" s="6"/>
      <c r="AF64" s="9"/>
    </row>
    <row r="65" spans="6:36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  <c r="V65" s="3"/>
      <c r="W65" s="3"/>
      <c r="X65" s="3"/>
      <c r="Y65" s="3"/>
      <c r="Z65" s="3"/>
    </row>
    <row r="66" spans="6:36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  <c r="V66" s="3"/>
      <c r="W66" s="3"/>
      <c r="X66" s="3"/>
      <c r="Y66" s="3"/>
      <c r="Z66" s="3"/>
    </row>
    <row r="67" spans="6:36" x14ac:dyDescent="0.2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AF67" s="9"/>
    </row>
    <row r="68" spans="6:36" x14ac:dyDescent="0.2">
      <c r="AI68" s="4"/>
      <c r="AJ68" s="4"/>
    </row>
  </sheetData>
  <mergeCells count="5">
    <mergeCell ref="A1:Q1"/>
    <mergeCell ref="A2:Q2"/>
    <mergeCell ref="A3:Q3"/>
    <mergeCell ref="A4:Q4"/>
    <mergeCell ref="L15:N15"/>
  </mergeCells>
  <printOptions horizontalCentered="1"/>
  <pageMargins left="0.75" right="0.75" top="1.5" bottom="0.5" header="1" footer="0.5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10.85546875" customWidth="1"/>
    <col min="6" max="6" width="2" customWidth="1"/>
    <col min="7" max="7" width="15.140625" bestFit="1" customWidth="1"/>
    <col min="8" max="8" width="14.7109375" customWidth="1"/>
    <col min="9" max="9" width="12.7109375" customWidth="1"/>
    <col min="10" max="10" width="9.85546875" customWidth="1"/>
    <col min="11" max="11" width="13" bestFit="1" customWidth="1"/>
    <col min="12" max="12" width="12.28515625" bestFit="1" customWidth="1"/>
    <col min="13" max="13" width="13.7109375" customWidth="1"/>
    <col min="14" max="15" width="15.140625" bestFit="1" customWidth="1"/>
    <col min="16" max="18" width="9.85546875" customWidth="1"/>
    <col min="19" max="19" width="10" customWidth="1"/>
    <col min="20" max="20" width="13.5703125" customWidth="1"/>
    <col min="21" max="21" width="12.5703125" bestFit="1" customWidth="1"/>
    <col min="22" max="22" width="12.7109375" bestFit="1" customWidth="1"/>
    <col min="23" max="23" width="12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4.42578125" bestFit="1" customWidth="1"/>
    <col min="30" max="31" width="12.7109375" bestFit="1" customWidth="1"/>
    <col min="32" max="32" width="13.85546875" bestFit="1" customWidth="1"/>
    <col min="33" max="33" width="11.5703125" bestFit="1" customWidth="1"/>
    <col min="34" max="34" width="14.42578125" bestFit="1" customWidth="1"/>
    <col min="35" max="35" width="12.7109375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429" t="str">
        <f>+'Rate Case Constants'!C9</f>
        <v>LOUISVILLE GAS AND ELECTRIC COMPANY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39" x14ac:dyDescent="0.2">
      <c r="A2" s="429" t="str">
        <f>+'Rate Case Constants'!C10</f>
        <v>CASE NO. 2018-00295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39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39" x14ac:dyDescent="0.2">
      <c r="A4" s="429" t="str">
        <f>+'Rate Case Constants'!C21</f>
        <v>FORECAST PERIOD FOR THE 12 MONTHS ENDED APRIL 30, 2020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39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39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39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 t="str">
        <f>+'Rate Case Constants'!C25</f>
        <v>SCHEDULE N</v>
      </c>
    </row>
    <row r="8" spans="1:39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/>
      <c r="M8" s="249"/>
      <c r="N8" s="249"/>
      <c r="O8" s="249"/>
      <c r="P8" s="251" t="str">
        <f>+'Rate Case Constants'!L16</f>
        <v>PAGE 9 of 26</v>
      </c>
    </row>
    <row r="9" spans="1:39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1" t="str">
        <f>+'Rate Case Constants'!C36</f>
        <v>WITNESS:   R. M. CONROY</v>
      </c>
    </row>
    <row r="10" spans="1:39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S10" s="83" t="s">
        <v>70</v>
      </c>
      <c r="T10">
        <f>+INPUT!G60</f>
        <v>-5.6926102287122515E-4</v>
      </c>
    </row>
    <row r="11" spans="1:39" x14ac:dyDescent="0.2">
      <c r="A11" s="260" t="s">
        <v>537</v>
      </c>
      <c r="S11" s="83" t="s">
        <v>72</v>
      </c>
      <c r="T11">
        <f>+INPUT!H60</f>
        <v>8.6645632737185703E-6</v>
      </c>
      <c r="V11" s="58" t="s">
        <v>96</v>
      </c>
      <c r="AD11" s="58" t="s">
        <v>96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3" t="s">
        <v>71</v>
      </c>
      <c r="T12">
        <f>+INPUT!I60</f>
        <v>2.1690345610231505E-3</v>
      </c>
    </row>
    <row r="13" spans="1:39" x14ac:dyDescent="0.2">
      <c r="A13" s="44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U13" s="3" t="s">
        <v>1</v>
      </c>
      <c r="V13" s="3" t="s">
        <v>1</v>
      </c>
      <c r="W13" s="3" t="s">
        <v>1</v>
      </c>
      <c r="Z13" s="3" t="s">
        <v>71</v>
      </c>
      <c r="AD13" s="20"/>
      <c r="AE13" s="21" t="s">
        <v>9</v>
      </c>
      <c r="AF13" s="21" t="s">
        <v>9</v>
      </c>
      <c r="AG13" s="21" t="s">
        <v>9</v>
      </c>
      <c r="AH13" s="20"/>
      <c r="AI13" s="3" t="s">
        <v>71</v>
      </c>
    </row>
    <row r="14" spans="1:39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1" t="s">
        <v>34</v>
      </c>
      <c r="AF14" s="21" t="s">
        <v>30</v>
      </c>
      <c r="AG14" s="21" t="s">
        <v>22</v>
      </c>
      <c r="AH14" s="21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"/>
      <c r="R15" s="3"/>
      <c r="S15" s="3" t="s">
        <v>2</v>
      </c>
      <c r="T15" s="3" t="s">
        <v>57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75</v>
      </c>
      <c r="AC15" s="26" t="s">
        <v>56</v>
      </c>
      <c r="AD15" s="3" t="s">
        <v>57</v>
      </c>
      <c r="AE15" s="21" t="s">
        <v>25</v>
      </c>
      <c r="AF15" s="21" t="s">
        <v>25</v>
      </c>
      <c r="AG15" s="21" t="s">
        <v>18</v>
      </c>
      <c r="AH15" s="21" t="s">
        <v>5</v>
      </c>
      <c r="AI15" s="3" t="s">
        <v>75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"/>
      <c r="R16" s="3"/>
      <c r="S16" s="26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6" t="s">
        <v>3</v>
      </c>
      <c r="AD16" s="3" t="s">
        <v>3</v>
      </c>
      <c r="AE16" s="21" t="s">
        <v>3</v>
      </c>
      <c r="AF16" s="21" t="s">
        <v>3</v>
      </c>
      <c r="AG16" s="21" t="s">
        <v>3</v>
      </c>
      <c r="AH16" s="21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"/>
      <c r="R17" s="3"/>
      <c r="S17" s="26"/>
      <c r="T17" s="42">
        <f>+INPUT!$I$6</f>
        <v>3.5049999999999998E-2</v>
      </c>
      <c r="U17" s="43">
        <f>+INPUT!$I$14</f>
        <v>6.96</v>
      </c>
      <c r="V17" s="43">
        <f>+INPUT!$I$15</f>
        <v>5.23</v>
      </c>
      <c r="W17" s="43">
        <f>+INPUT!$I$16</f>
        <v>3.48</v>
      </c>
      <c r="X17" s="3"/>
      <c r="Y17" s="3"/>
      <c r="Z17" s="42"/>
      <c r="AC17" s="26"/>
      <c r="AD17" s="42">
        <f>+INPUT!$I$28</f>
        <v>3.193E-2</v>
      </c>
      <c r="AE17" s="43">
        <f>+INPUT!$I$35</f>
        <v>8.2100000000000009</v>
      </c>
      <c r="AF17" s="43">
        <f>+INPUT!$I$36</f>
        <v>6.16</v>
      </c>
      <c r="AG17" s="43">
        <f>+INPUT!$I$37</f>
        <v>3.46</v>
      </c>
      <c r="AH17" s="21"/>
      <c r="AI17" s="42"/>
      <c r="AK17" s="3"/>
      <c r="AL17" s="3"/>
      <c r="AM17" s="3"/>
    </row>
    <row r="18" spans="1:39" x14ac:dyDescent="0.2">
      <c r="A18" s="16"/>
      <c r="B18" s="16"/>
      <c r="C18" s="80"/>
      <c r="D18" s="16"/>
      <c r="E18" s="80"/>
      <c r="F18" s="80"/>
      <c r="G18" s="234"/>
      <c r="H18" s="234"/>
      <c r="I18" s="234" t="str">
        <f>("[ "&amp;H13&amp;" - "&amp;G13&amp;" ]")</f>
        <v>[ B - A ]</v>
      </c>
      <c r="J18" s="234" t="str">
        <f>("[ "&amp;I13&amp;" / "&amp;G13&amp;" ]")</f>
        <v>[ C / A ]</v>
      </c>
      <c r="K18" s="262"/>
      <c r="L18" s="262"/>
      <c r="M18" s="262"/>
      <c r="N18" s="234" t="str">
        <f>("["&amp;G13&amp;"+"&amp;$K$13&amp;"+"&amp;$L$13&amp;"+"&amp;$M$13&amp;"]")</f>
        <v>[A+E+F+G]</v>
      </c>
      <c r="O18" s="234" t="str">
        <f>("["&amp;H13&amp;"+"&amp;$K$13&amp;"+"&amp;$L$13&amp;"+"&amp;$M$13&amp;"]")</f>
        <v>[B+E+F+G]</v>
      </c>
      <c r="P18" s="234" t="str">
        <f>("[("&amp;O13&amp;" - "&amp;N13&amp;")/"&amp;N13&amp;"]")</f>
        <v>[(I - H)/H]</v>
      </c>
      <c r="Q18" s="3"/>
      <c r="R18" s="3"/>
      <c r="T18" s="3" t="s">
        <v>14</v>
      </c>
      <c r="U18" s="3" t="s">
        <v>59</v>
      </c>
      <c r="V18" s="3" t="s">
        <v>59</v>
      </c>
      <c r="W18" s="3" t="s">
        <v>59</v>
      </c>
      <c r="X18" s="3"/>
      <c r="Y18" s="3"/>
      <c r="Z18" s="3" t="s">
        <v>14</v>
      </c>
      <c r="AC18" s="26"/>
      <c r="AD18" s="3" t="s">
        <v>14</v>
      </c>
      <c r="AE18" s="3" t="s">
        <v>59</v>
      </c>
      <c r="AF18" s="3" t="s">
        <v>59</v>
      </c>
      <c r="AG18" s="3" t="s">
        <v>59</v>
      </c>
      <c r="AH18" s="21"/>
      <c r="AI18" s="3" t="s">
        <v>14</v>
      </c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164"/>
      <c r="J19" s="164"/>
      <c r="K19" s="3"/>
      <c r="L19" s="3"/>
      <c r="M19" s="3"/>
      <c r="N19" s="164"/>
      <c r="O19" s="3"/>
      <c r="P19" s="164"/>
      <c r="Q19" s="3"/>
      <c r="R19" s="3"/>
      <c r="U19" s="3"/>
      <c r="V19" s="3"/>
      <c r="W19" s="3"/>
      <c r="X19" s="3"/>
      <c r="Y19" s="3"/>
      <c r="AC19" s="26"/>
      <c r="AD19" s="3"/>
      <c r="AE19" s="21"/>
      <c r="AF19" s="21"/>
      <c r="AG19" s="21"/>
      <c r="AH19" s="21"/>
      <c r="AK19" s="3"/>
      <c r="AL19" s="3"/>
      <c r="AM19" s="3"/>
    </row>
    <row r="20" spans="1:39" x14ac:dyDescent="0.2">
      <c r="A20" s="1">
        <v>500</v>
      </c>
      <c r="B20" s="1"/>
      <c r="C20" s="13">
        <v>0.3</v>
      </c>
      <c r="E20" s="1">
        <f>C20*($A$20*730)</f>
        <v>109500</v>
      </c>
      <c r="F20" s="1"/>
      <c r="G20" s="29">
        <f>+X20</f>
        <v>12002.975</v>
      </c>
      <c r="H20" s="29">
        <f>+AH20</f>
        <v>12741.2775</v>
      </c>
      <c r="I20" s="29">
        <f>+H20-G20</f>
        <v>738.30249999999978</v>
      </c>
      <c r="J20" s="54">
        <f>ROUND(+I20/G20,4)</f>
        <v>6.1499999999999999E-2</v>
      </c>
      <c r="K20" s="29">
        <f>ROUND($T$10*$E20,2)</f>
        <v>-62.33</v>
      </c>
      <c r="L20" s="29">
        <f>ROUND($T$11*$E20,2)</f>
        <v>0.95</v>
      </c>
      <c r="M20" s="29">
        <f>ROUND($T$12*$E20,2)</f>
        <v>237.51</v>
      </c>
      <c r="N20" s="29">
        <f>+G20+K20+L20+M20</f>
        <v>12179.105000000001</v>
      </c>
      <c r="O20" s="29">
        <f>+H20+K20+L20+M20</f>
        <v>12917.407500000001</v>
      </c>
      <c r="P20" s="54">
        <f>(O20-N20)/N20</f>
        <v>6.0620423257702408E-2</v>
      </c>
      <c r="Q20" s="1"/>
      <c r="S20" s="7">
        <f>+INPUT!$I$4</f>
        <v>330</v>
      </c>
      <c r="T20" s="20">
        <f>$T$17*E20</f>
        <v>3837.9749999999999</v>
      </c>
      <c r="U20" s="20">
        <f>$U$17*$A$20</f>
        <v>3480</v>
      </c>
      <c r="V20" s="20">
        <f>$V$17*$A$20</f>
        <v>2615</v>
      </c>
      <c r="W20" s="20">
        <f>$W$17*$A$20</f>
        <v>1740</v>
      </c>
      <c r="X20" s="25">
        <f>S20+T20+U20+V20+W20</f>
        <v>12002.975</v>
      </c>
      <c r="Y20" s="25"/>
      <c r="Z20" s="20"/>
      <c r="AC20" s="7">
        <f>INPUT!$I$26</f>
        <v>329.9425</v>
      </c>
      <c r="AD20" s="20">
        <f>$AD$17*E20</f>
        <v>3496.335</v>
      </c>
      <c r="AE20" s="20">
        <f>$A$20*$AE$17</f>
        <v>4105</v>
      </c>
      <c r="AF20" s="20">
        <f>$A$20*$AF$17</f>
        <v>3080</v>
      </c>
      <c r="AG20" s="20">
        <f>$A$20*$AG$17</f>
        <v>1730</v>
      </c>
      <c r="AH20" s="25">
        <f>AC20+AD20+AE20+AF20+AG20</f>
        <v>12741.2775</v>
      </c>
      <c r="AI20" s="20"/>
      <c r="AJ20" s="17"/>
      <c r="AK20" s="7">
        <f>AH20-X20</f>
        <v>738.30249999999978</v>
      </c>
      <c r="AM20" s="18">
        <f>AH20/X20-1</f>
        <v>6.1509958989333979E-2</v>
      </c>
    </row>
    <row r="21" spans="1:39" x14ac:dyDescent="0.2">
      <c r="C21" s="13">
        <v>0.5</v>
      </c>
      <c r="E21" s="1">
        <f>C21*($A$20*730)</f>
        <v>182500</v>
      </c>
      <c r="F21" s="1"/>
      <c r="G21" s="29">
        <f t="shared" ref="G21:G38" si="0">+X21</f>
        <v>14561.625</v>
      </c>
      <c r="H21" s="29">
        <f>+AH21</f>
        <v>15072.1675</v>
      </c>
      <c r="I21" s="29">
        <f>+H21-G21</f>
        <v>510.54249999999956</v>
      </c>
      <c r="J21" s="54">
        <f>ROUND(+I21/G21,4)</f>
        <v>3.5099999999999999E-2</v>
      </c>
      <c r="K21" s="29">
        <f>ROUND($T$10*$E21,2)</f>
        <v>-103.89</v>
      </c>
      <c r="L21" s="29">
        <f>ROUND($T$11*$E21,2)</f>
        <v>1.58</v>
      </c>
      <c r="M21" s="29">
        <f>ROUND($T$12*$E21,2)</f>
        <v>395.85</v>
      </c>
      <c r="N21" s="29">
        <f>+G21+K21+L21+M21</f>
        <v>14855.165000000001</v>
      </c>
      <c r="O21" s="29">
        <f>+H21+K21+L21+M21</f>
        <v>15365.7075</v>
      </c>
      <c r="P21" s="54">
        <f>(O21-N21)/N21</f>
        <v>3.4368012741696208E-2</v>
      </c>
      <c r="Q21" s="1"/>
      <c r="S21" s="7">
        <f>$S$20</f>
        <v>330</v>
      </c>
      <c r="T21" s="20">
        <f>$T$17*E21</f>
        <v>6396.625</v>
      </c>
      <c r="U21" s="20">
        <f>$U$17*$A$20</f>
        <v>3480</v>
      </c>
      <c r="V21" s="20">
        <f>$V$17*$A$20</f>
        <v>2615</v>
      </c>
      <c r="W21" s="20">
        <f>$W$17*$A$20</f>
        <v>1740</v>
      </c>
      <c r="X21" s="25">
        <f>S21+T21+U21+V21+W21</f>
        <v>14561.625</v>
      </c>
      <c r="Y21" s="25"/>
      <c r="Z21" s="20"/>
      <c r="AC21" s="7">
        <f>$AC$20</f>
        <v>329.9425</v>
      </c>
      <c r="AD21" s="20">
        <f>$AD$17*E21</f>
        <v>5827.2250000000004</v>
      </c>
      <c r="AE21" s="20">
        <f>$A$20*$AE$17</f>
        <v>4105</v>
      </c>
      <c r="AF21" s="20">
        <f>$A$20*$AF$17</f>
        <v>3080</v>
      </c>
      <c r="AG21" s="20">
        <f>$A$20*$AG$17</f>
        <v>1730</v>
      </c>
      <c r="AH21" s="25">
        <f>AC21+AD21+AE21+AF21+AG21</f>
        <v>15072.1675</v>
      </c>
      <c r="AI21" s="20"/>
      <c r="AJ21" s="17"/>
      <c r="AK21" s="7">
        <f>AH21-X21</f>
        <v>510.54249999999956</v>
      </c>
      <c r="AM21" s="18">
        <f>AH21/X21-1</f>
        <v>3.5060819105010577E-2</v>
      </c>
    </row>
    <row r="22" spans="1:39" x14ac:dyDescent="0.2">
      <c r="C22" s="13">
        <v>0.7</v>
      </c>
      <c r="E22" s="1">
        <f>C22*($A$20*730)</f>
        <v>255499.99999999997</v>
      </c>
      <c r="F22" s="1"/>
      <c r="G22" s="29">
        <f t="shared" si="0"/>
        <v>17120.274999999998</v>
      </c>
      <c r="H22" s="29">
        <f>+AH22</f>
        <v>17403.057499999999</v>
      </c>
      <c r="I22" s="29">
        <f>+H22-G22</f>
        <v>282.78250000000116</v>
      </c>
      <c r="J22" s="54">
        <f>ROUND(+I22/G22,4)</f>
        <v>1.6500000000000001E-2</v>
      </c>
      <c r="K22" s="29">
        <f>ROUND($T$10*$E22,2)</f>
        <v>-145.44999999999999</v>
      </c>
      <c r="L22" s="29">
        <f>ROUND($T$11*$E22,2)</f>
        <v>2.21</v>
      </c>
      <c r="M22" s="29">
        <f>ROUND($T$12*$E22,2)</f>
        <v>554.19000000000005</v>
      </c>
      <c r="N22" s="29">
        <f>+G22+K22+L22+M22</f>
        <v>17531.224999999995</v>
      </c>
      <c r="O22" s="29">
        <f>+H22+K22+L22+M22</f>
        <v>17814.007499999996</v>
      </c>
      <c r="P22" s="54">
        <f>(O22-N22)/N22</f>
        <v>1.6130219080526389E-2</v>
      </c>
      <c r="Q22" s="1"/>
      <c r="S22" s="7">
        <f>$S$20</f>
        <v>330</v>
      </c>
      <c r="T22" s="20">
        <f>$T$17*E22</f>
        <v>8955.2749999999978</v>
      </c>
      <c r="U22" s="20">
        <f>$U$17*$A$20</f>
        <v>3480</v>
      </c>
      <c r="V22" s="20">
        <f>$V$17*$A$20</f>
        <v>2615</v>
      </c>
      <c r="W22" s="20">
        <f>$W$17*$A$20</f>
        <v>1740</v>
      </c>
      <c r="X22" s="25">
        <f>S22+T22+U22+V22+W22</f>
        <v>17120.274999999998</v>
      </c>
      <c r="Y22" s="25"/>
      <c r="Z22" s="20"/>
      <c r="AC22" s="7">
        <f>$AC$20</f>
        <v>329.9425</v>
      </c>
      <c r="AD22" s="20">
        <f>$AD$17*E22</f>
        <v>8158.1149999999989</v>
      </c>
      <c r="AE22" s="20">
        <f>$A$20*$AE$17</f>
        <v>4105</v>
      </c>
      <c r="AF22" s="20">
        <f>$A$20*$AF$17</f>
        <v>3080</v>
      </c>
      <c r="AG22" s="20">
        <f>$A$20*$AG$17</f>
        <v>1730</v>
      </c>
      <c r="AH22" s="25">
        <f>AC22+AD22+AE22+AF22+AG22</f>
        <v>17403.057499999999</v>
      </c>
      <c r="AI22" s="20"/>
      <c r="AJ22" s="17"/>
      <c r="AK22" s="7">
        <f>AH22-X22</f>
        <v>282.78250000000116</v>
      </c>
      <c r="AM22" s="18">
        <f>AH22/X22-1</f>
        <v>1.6517404072072583E-2</v>
      </c>
    </row>
    <row r="23" spans="1:39" x14ac:dyDescent="0.2">
      <c r="C23" s="13"/>
      <c r="E23" s="1"/>
      <c r="F23" s="1"/>
      <c r="G23" s="29"/>
      <c r="H23" s="29"/>
      <c r="J23" s="5"/>
      <c r="K23" s="1"/>
      <c r="L23" s="1"/>
      <c r="M23" s="1"/>
      <c r="P23" s="54"/>
      <c r="Q23" s="1"/>
      <c r="S23" s="7"/>
      <c r="T23" s="20"/>
      <c r="U23" s="20"/>
      <c r="V23" s="20"/>
      <c r="W23" s="20"/>
      <c r="X23" s="25"/>
      <c r="Y23" s="25"/>
      <c r="AC23" s="7"/>
      <c r="AD23" s="20"/>
      <c r="AE23" s="20"/>
      <c r="AF23" s="20"/>
      <c r="AG23" s="20"/>
      <c r="AH23" s="25"/>
      <c r="AJ23" s="17"/>
      <c r="AK23" s="6"/>
      <c r="AM23" s="6"/>
    </row>
    <row r="24" spans="1:39" x14ac:dyDescent="0.2">
      <c r="A24" s="1">
        <v>5000</v>
      </c>
      <c r="B24" s="1"/>
      <c r="C24" s="13">
        <v>0.3</v>
      </c>
      <c r="E24" s="1">
        <f>C24*($A$24*730)</f>
        <v>1095000</v>
      </c>
      <c r="F24" s="1"/>
      <c r="G24" s="29">
        <f t="shared" si="0"/>
        <v>117059.75</v>
      </c>
      <c r="H24" s="29">
        <f>+AH24</f>
        <v>124443.29250000001</v>
      </c>
      <c r="I24" s="29">
        <f>+H24-G24</f>
        <v>7383.5425000000105</v>
      </c>
      <c r="J24" s="54">
        <f>ROUND(+I24/G24,4)</f>
        <v>6.3100000000000003E-2</v>
      </c>
      <c r="K24" s="29">
        <f>ROUND($T$10*$E24,2)</f>
        <v>-623.34</v>
      </c>
      <c r="L24" s="29">
        <f>ROUND($T$11*$E24,2)</f>
        <v>9.49</v>
      </c>
      <c r="M24" s="29">
        <f>ROUND($T$12*$E24,2)</f>
        <v>2375.09</v>
      </c>
      <c r="N24" s="29">
        <f>+G24+K24+L24+M24</f>
        <v>118820.99</v>
      </c>
      <c r="O24" s="29">
        <f>+H24+K24+L24+M24</f>
        <v>126204.53250000002</v>
      </c>
      <c r="P24" s="54">
        <f>(O24-N24)/N24</f>
        <v>6.2140052022795045E-2</v>
      </c>
      <c r="Q24" s="1"/>
      <c r="S24" s="7">
        <f>$S$20</f>
        <v>330</v>
      </c>
      <c r="T24" s="20">
        <f>$T$17*E24</f>
        <v>38379.75</v>
      </c>
      <c r="U24" s="20">
        <f>$U$17*$A$24</f>
        <v>34800</v>
      </c>
      <c r="V24" s="20">
        <f>$V$17*$A$24</f>
        <v>26150.000000000004</v>
      </c>
      <c r="W24" s="20">
        <f>$W$17*$A$24</f>
        <v>17400</v>
      </c>
      <c r="X24" s="25">
        <f>S24+T24+U24+V24+W24</f>
        <v>117059.75</v>
      </c>
      <c r="Y24" s="25"/>
      <c r="Z24" s="20"/>
      <c r="AC24" s="7">
        <f>$AC$20</f>
        <v>329.9425</v>
      </c>
      <c r="AD24" s="20">
        <f>$AD$17*E24</f>
        <v>34963.35</v>
      </c>
      <c r="AE24" s="20">
        <f>$A$24*$AE$17</f>
        <v>41050.000000000007</v>
      </c>
      <c r="AF24" s="20">
        <f>$A$24*$AF$17</f>
        <v>30800</v>
      </c>
      <c r="AG24" s="20">
        <f>$A$24*$AG$17</f>
        <v>17300</v>
      </c>
      <c r="AH24" s="25">
        <f>AC24+AD24+AE24+AF24+AG24</f>
        <v>124443.29250000001</v>
      </c>
      <c r="AI24" s="20"/>
      <c r="AJ24" s="17"/>
      <c r="AK24" s="7">
        <f>AH24-X24</f>
        <v>7383.5425000000105</v>
      </c>
      <c r="AL24" s="10"/>
      <c r="AM24" s="18">
        <f>AH24/X24-1</f>
        <v>6.3074989481867183E-2</v>
      </c>
    </row>
    <row r="25" spans="1:39" x14ac:dyDescent="0.2">
      <c r="C25" s="13">
        <v>0.5</v>
      </c>
      <c r="E25" s="1">
        <f>C25*($A$24*730)</f>
        <v>1825000</v>
      </c>
      <c r="F25" s="1"/>
      <c r="G25" s="29">
        <f t="shared" si="0"/>
        <v>142646.25</v>
      </c>
      <c r="H25" s="29">
        <f>+AH25</f>
        <v>147752.1925</v>
      </c>
      <c r="I25" s="29">
        <f>+H25-G25</f>
        <v>5105.9425000000047</v>
      </c>
      <c r="J25" s="54">
        <f>ROUND(+I25/G25,4)</f>
        <v>3.5799999999999998E-2</v>
      </c>
      <c r="K25" s="29">
        <f>ROUND($T$10*$E25,2)</f>
        <v>-1038.9000000000001</v>
      </c>
      <c r="L25" s="29">
        <f>ROUND($T$11*$E25,2)</f>
        <v>15.81</v>
      </c>
      <c r="M25" s="29">
        <f>ROUND($T$12*$E25,2)</f>
        <v>3958.49</v>
      </c>
      <c r="N25" s="29">
        <f>+G25+K25+L25+M25</f>
        <v>145581.65</v>
      </c>
      <c r="O25" s="29">
        <f>+H25+K25+L25+M25</f>
        <v>150687.5925</v>
      </c>
      <c r="P25" s="54">
        <f>(O25-N25)/N25</f>
        <v>3.5072706622022796E-2</v>
      </c>
      <c r="Q25" s="1"/>
      <c r="S25" s="7">
        <f>$S$20</f>
        <v>330</v>
      </c>
      <c r="T25" s="20">
        <f>$T$17*E25</f>
        <v>63966.249999999993</v>
      </c>
      <c r="U25" s="20">
        <f>$U$17*$A$24</f>
        <v>34800</v>
      </c>
      <c r="V25" s="20">
        <f>$V$17*$A$24</f>
        <v>26150.000000000004</v>
      </c>
      <c r="W25" s="20">
        <f>$W$17*$A$24</f>
        <v>17400</v>
      </c>
      <c r="X25" s="25">
        <f>S25+T25+U25+V25+W25</f>
        <v>142646.25</v>
      </c>
      <c r="Y25" s="25"/>
      <c r="Z25" s="20"/>
      <c r="AC25" s="7">
        <f>$AC$20</f>
        <v>329.9425</v>
      </c>
      <c r="AD25" s="20">
        <f>$AD$17*E25</f>
        <v>58272.25</v>
      </c>
      <c r="AE25" s="20">
        <f>$A$24*$AE$17</f>
        <v>41050.000000000007</v>
      </c>
      <c r="AF25" s="20">
        <f>$A$24*$AF$17</f>
        <v>30800</v>
      </c>
      <c r="AG25" s="20">
        <f>$A$24*$AG$17</f>
        <v>17300</v>
      </c>
      <c r="AH25" s="25">
        <f>AC25+AD25+AE25+AF25+AG25</f>
        <v>147752.1925</v>
      </c>
      <c r="AI25" s="20"/>
      <c r="AJ25" s="17"/>
      <c r="AK25" s="7">
        <f>AH25-X25</f>
        <v>5105.9425000000047</v>
      </c>
      <c r="AL25" s="10"/>
      <c r="AM25" s="18">
        <f>AH25/X25-1</f>
        <v>3.579443904063373E-2</v>
      </c>
    </row>
    <row r="26" spans="1:39" x14ac:dyDescent="0.2">
      <c r="C26" s="13">
        <v>0.7</v>
      </c>
      <c r="E26" s="1">
        <f>C26*($A$24*730)</f>
        <v>2555000</v>
      </c>
      <c r="F26" s="1"/>
      <c r="G26" s="29">
        <f t="shared" si="0"/>
        <v>168232.75</v>
      </c>
      <c r="H26" s="29">
        <f>+AH26</f>
        <v>171061.0925</v>
      </c>
      <c r="I26" s="29">
        <f>+H26-G26</f>
        <v>2828.3424999999988</v>
      </c>
      <c r="J26" s="54">
        <f>ROUND(+I26/G26,4)</f>
        <v>1.6799999999999999E-2</v>
      </c>
      <c r="K26" s="29">
        <f>ROUND($T$10*$E26,2)</f>
        <v>-1454.46</v>
      </c>
      <c r="L26" s="29">
        <f>ROUND($T$11*$E26,2)</f>
        <v>22.14</v>
      </c>
      <c r="M26" s="29">
        <f>ROUND($T$12*$E26,2)</f>
        <v>5541.88</v>
      </c>
      <c r="N26" s="29">
        <f>+G26+K26+L26+M26</f>
        <v>172342.31000000003</v>
      </c>
      <c r="O26" s="29">
        <f>+H26+K26+L26+M26</f>
        <v>175170.65250000003</v>
      </c>
      <c r="P26" s="54">
        <f>(O26-N26)/N26</f>
        <v>1.6411190612450294E-2</v>
      </c>
      <c r="Q26" s="1"/>
      <c r="S26" s="7">
        <f>$S$20</f>
        <v>330</v>
      </c>
      <c r="T26" s="20">
        <f>$T$17*E26</f>
        <v>89552.75</v>
      </c>
      <c r="U26" s="20">
        <f>$U$17*$A$24</f>
        <v>34800</v>
      </c>
      <c r="V26" s="20">
        <f>$V$17*$A$24</f>
        <v>26150.000000000004</v>
      </c>
      <c r="W26" s="20">
        <f>$W$17*$A$24</f>
        <v>17400</v>
      </c>
      <c r="X26" s="25">
        <f>S26+T26+U26+V26+W26</f>
        <v>168232.75</v>
      </c>
      <c r="Y26" s="25"/>
      <c r="Z26" s="20"/>
      <c r="AC26" s="7">
        <f>$AC$20</f>
        <v>329.9425</v>
      </c>
      <c r="AD26" s="20">
        <f>$AD$17*E26</f>
        <v>81581.149999999994</v>
      </c>
      <c r="AE26" s="20">
        <f>$A$24*$AE$17</f>
        <v>41050.000000000007</v>
      </c>
      <c r="AF26" s="20">
        <f>$A$24*$AF$17</f>
        <v>30800</v>
      </c>
      <c r="AG26" s="20">
        <f>$A$24*$AG$17</f>
        <v>17300</v>
      </c>
      <c r="AH26" s="25">
        <f>AC26+AD26+AE26+AF26+AG26</f>
        <v>171061.0925</v>
      </c>
      <c r="AI26" s="20"/>
      <c r="AJ26" s="17"/>
      <c r="AK26" s="7">
        <f>AH26-X26</f>
        <v>2828.3424999999988</v>
      </c>
      <c r="AM26" s="18">
        <f>AH26/X26-1</f>
        <v>1.6812080287577746E-2</v>
      </c>
    </row>
    <row r="27" spans="1:39" x14ac:dyDescent="0.2">
      <c r="C27" s="13"/>
      <c r="E27" s="1"/>
      <c r="F27" s="1"/>
      <c r="G27" s="29"/>
      <c r="H27" s="29"/>
      <c r="J27" s="5"/>
      <c r="K27" s="1"/>
      <c r="L27" s="1"/>
      <c r="M27" s="1"/>
      <c r="P27" s="54"/>
      <c r="Q27" s="1"/>
      <c r="S27" s="7"/>
      <c r="T27" s="20"/>
      <c r="U27" s="20"/>
      <c r="V27" s="20"/>
      <c r="W27" s="20"/>
      <c r="X27" s="25"/>
      <c r="Y27" s="25"/>
      <c r="AC27" s="7"/>
      <c r="AD27" s="20"/>
      <c r="AE27" s="20"/>
      <c r="AF27" s="20"/>
      <c r="AG27" s="20"/>
      <c r="AH27" s="25"/>
      <c r="AJ27" s="17"/>
      <c r="AK27" s="6"/>
      <c r="AM27" s="6"/>
    </row>
    <row r="28" spans="1:39" x14ac:dyDescent="0.2">
      <c r="A28" s="1">
        <v>10000</v>
      </c>
      <c r="B28" s="1"/>
      <c r="C28" s="13">
        <v>0.3</v>
      </c>
      <c r="E28" s="1">
        <f>C28*($A$28*730)</f>
        <v>2190000</v>
      </c>
      <c r="F28" s="1"/>
      <c r="G28" s="29">
        <f t="shared" si="0"/>
        <v>233789.5</v>
      </c>
      <c r="H28" s="29">
        <f>+AH28</f>
        <v>248556.64250000002</v>
      </c>
      <c r="I28" s="29">
        <f>+H28-G28</f>
        <v>14767.142500000016</v>
      </c>
      <c r="J28" s="54">
        <f>ROUND(+I28/G28,4)</f>
        <v>6.3200000000000006E-2</v>
      </c>
      <c r="K28" s="29">
        <f>ROUND($T$10*$E28,2)</f>
        <v>-1246.68</v>
      </c>
      <c r="L28" s="29">
        <f>ROUND($T$11*$E28,2)</f>
        <v>18.98</v>
      </c>
      <c r="M28" s="29">
        <f>ROUND($T$12*$E28,2)</f>
        <v>4750.1899999999996</v>
      </c>
      <c r="N28" s="29">
        <f>+G28+K28+L28+M28</f>
        <v>237311.99000000002</v>
      </c>
      <c r="O28" s="29">
        <f>+H28+K28+L28+M28</f>
        <v>252079.13250000004</v>
      </c>
      <c r="P28" s="54">
        <f>(O28-N28)/N28</f>
        <v>6.2226702072659769E-2</v>
      </c>
      <c r="Q28" s="1"/>
      <c r="S28" s="7">
        <f>$S$20</f>
        <v>330</v>
      </c>
      <c r="T28" s="20">
        <f>$T$17*E28</f>
        <v>76759.5</v>
      </c>
      <c r="U28" s="20">
        <f>$U$17*$A$28</f>
        <v>69600</v>
      </c>
      <c r="V28" s="20">
        <f>$V$17*$A$28</f>
        <v>52300.000000000007</v>
      </c>
      <c r="W28" s="20">
        <f>$W$17*$A$28</f>
        <v>34800</v>
      </c>
      <c r="X28" s="25">
        <f>S28+T28+U28+V28+W28</f>
        <v>233789.5</v>
      </c>
      <c r="Y28" s="25"/>
      <c r="Z28" s="20"/>
      <c r="AC28" s="7">
        <f>$AC$20</f>
        <v>329.9425</v>
      </c>
      <c r="AD28" s="20">
        <f>$AD$17*E28</f>
        <v>69926.7</v>
      </c>
      <c r="AE28" s="20">
        <f>$A$28*$AE$17</f>
        <v>82100.000000000015</v>
      </c>
      <c r="AF28" s="20">
        <f>$A$28*$AF$17</f>
        <v>61600</v>
      </c>
      <c r="AG28" s="20">
        <f>$A$28*$AG$17</f>
        <v>34600</v>
      </c>
      <c r="AH28" s="25">
        <f>AC28+AD28+AE28+AF28+AG28</f>
        <v>248556.64250000002</v>
      </c>
      <c r="AI28" s="20"/>
      <c r="AJ28" s="17"/>
      <c r="AK28" s="7">
        <f>AH28-X28</f>
        <v>14767.142500000016</v>
      </c>
      <c r="AM28" s="18">
        <f>AH28/X28-1</f>
        <v>6.3164267428605703E-2</v>
      </c>
    </row>
    <row r="29" spans="1:39" x14ac:dyDescent="0.2">
      <c r="C29" s="13">
        <v>0.5</v>
      </c>
      <c r="E29" s="1">
        <f>C29*($A$28*730)</f>
        <v>3650000</v>
      </c>
      <c r="F29" s="1"/>
      <c r="G29" s="29">
        <f t="shared" si="0"/>
        <v>284962.5</v>
      </c>
      <c r="H29" s="29">
        <f>+AH29</f>
        <v>295174.4425</v>
      </c>
      <c r="I29" s="29">
        <f>+H29-G29</f>
        <v>10211.942500000005</v>
      </c>
      <c r="J29" s="54">
        <f>ROUND(+I29/G29,4)</f>
        <v>3.5799999999999998E-2</v>
      </c>
      <c r="K29" s="29">
        <f>ROUND($T$10*$E29,2)</f>
        <v>-2077.8000000000002</v>
      </c>
      <c r="L29" s="29">
        <f>ROUND($T$11*$E29,2)</f>
        <v>31.63</v>
      </c>
      <c r="M29" s="29">
        <f>ROUND($T$12*$E29,2)</f>
        <v>7916.98</v>
      </c>
      <c r="N29" s="29">
        <f>+G29+K29+L29+M29</f>
        <v>290833.31</v>
      </c>
      <c r="O29" s="29">
        <f>+H29+K29+L29+M29</f>
        <v>301045.2525</v>
      </c>
      <c r="P29" s="54">
        <f>(O29-N29)/N29</f>
        <v>3.5112699092136331E-2</v>
      </c>
      <c r="Q29" s="1"/>
      <c r="S29" s="7">
        <f>$S$20</f>
        <v>330</v>
      </c>
      <c r="T29" s="20">
        <f>$T$17*E29</f>
        <v>127932.49999999999</v>
      </c>
      <c r="U29" s="20">
        <f>$U$17*$A$28</f>
        <v>69600</v>
      </c>
      <c r="V29" s="20">
        <f>$V$17*$A$28</f>
        <v>52300.000000000007</v>
      </c>
      <c r="W29" s="20">
        <f>$W$17*$A$28</f>
        <v>34800</v>
      </c>
      <c r="X29" s="25">
        <f>S29+T29+U29+V29+W29</f>
        <v>284962.5</v>
      </c>
      <c r="Y29" s="25"/>
      <c r="Z29" s="20"/>
      <c r="AC29" s="7">
        <f>$AC$20</f>
        <v>329.9425</v>
      </c>
      <c r="AD29" s="20">
        <f>$AD$17*E29</f>
        <v>116544.5</v>
      </c>
      <c r="AE29" s="20">
        <f>$A$28*$AE$17</f>
        <v>82100.000000000015</v>
      </c>
      <c r="AF29" s="20">
        <f>$A$28*$AF$17</f>
        <v>61600</v>
      </c>
      <c r="AG29" s="20">
        <f>$A$28*$AG$17</f>
        <v>34600</v>
      </c>
      <c r="AH29" s="25">
        <f>AC29+AD29+AE29+AF29+AG29</f>
        <v>295174.4425</v>
      </c>
      <c r="AI29" s="20"/>
      <c r="AJ29" s="17"/>
      <c r="AK29" s="7">
        <f>AH29-X29</f>
        <v>10211.942500000005</v>
      </c>
      <c r="AM29" s="18">
        <f>AH29/X29-1</f>
        <v>3.5836092468307212E-2</v>
      </c>
    </row>
    <row r="30" spans="1:39" x14ac:dyDescent="0.2">
      <c r="C30" s="13">
        <v>0.7</v>
      </c>
      <c r="E30" s="1">
        <f>C30*($A$28*730)</f>
        <v>5110000</v>
      </c>
      <c r="F30" s="1"/>
      <c r="G30" s="29">
        <f t="shared" si="0"/>
        <v>336135.5</v>
      </c>
      <c r="H30" s="29">
        <f>+AH30</f>
        <v>341792.24249999999</v>
      </c>
      <c r="I30" s="29">
        <f>+H30-G30</f>
        <v>5656.742499999993</v>
      </c>
      <c r="J30" s="54">
        <f>ROUND(+I30/G30,4)</f>
        <v>1.6799999999999999E-2</v>
      </c>
      <c r="K30" s="29">
        <f>ROUND($T$10*$E30,2)</f>
        <v>-2908.92</v>
      </c>
      <c r="L30" s="29">
        <f>ROUND($T$11*$E30,2)</f>
        <v>44.28</v>
      </c>
      <c r="M30" s="29">
        <f>ROUND($T$12*$E30,2)</f>
        <v>11083.77</v>
      </c>
      <c r="N30" s="29">
        <f>+G30+K30+L30+M30</f>
        <v>344354.63000000006</v>
      </c>
      <c r="O30" s="29">
        <f>+H30+K30+L30+M30</f>
        <v>350011.37250000006</v>
      </c>
      <c r="P30" s="54">
        <f>(O30-N30)/N30</f>
        <v>1.6427084195150772E-2</v>
      </c>
      <c r="Q30" s="1"/>
      <c r="S30" s="7">
        <f>$S$20</f>
        <v>330</v>
      </c>
      <c r="T30" s="20">
        <f>$T$17*E30</f>
        <v>179105.5</v>
      </c>
      <c r="U30" s="20">
        <f>$U$17*$A$28</f>
        <v>69600</v>
      </c>
      <c r="V30" s="20">
        <f>$V$17*$A$28</f>
        <v>52300.000000000007</v>
      </c>
      <c r="W30" s="20">
        <f>$W$17*$A$28</f>
        <v>34800</v>
      </c>
      <c r="X30" s="25">
        <f>S30+T30+U30+V30+W30</f>
        <v>336135.5</v>
      </c>
      <c r="Y30" s="25"/>
      <c r="Z30" s="20"/>
      <c r="AC30" s="7">
        <f>$AC$20</f>
        <v>329.9425</v>
      </c>
      <c r="AD30" s="20">
        <f>$AD$17*E30</f>
        <v>163162.29999999999</v>
      </c>
      <c r="AE30" s="20">
        <f>$A$28*$AE$17</f>
        <v>82100.000000000015</v>
      </c>
      <c r="AF30" s="20">
        <f>$A$28*$AF$17</f>
        <v>61600</v>
      </c>
      <c r="AG30" s="20">
        <f>$A$28*$AG$17</f>
        <v>34600</v>
      </c>
      <c r="AH30" s="25">
        <f>AC30+AD30+AE30+AF30+AG30</f>
        <v>341792.24249999999</v>
      </c>
      <c r="AI30" s="20"/>
      <c r="AJ30" s="17"/>
      <c r="AK30" s="7">
        <f>AH30-X30</f>
        <v>5656.742499999993</v>
      </c>
      <c r="AM30" s="18">
        <f>AH30/X30-1</f>
        <v>1.6828756557995206E-2</v>
      </c>
    </row>
    <row r="31" spans="1:39" x14ac:dyDescent="0.2">
      <c r="C31" s="13"/>
      <c r="E31" s="1"/>
      <c r="F31" s="1"/>
      <c r="G31" s="29"/>
      <c r="H31" s="29"/>
      <c r="J31" s="5"/>
      <c r="K31" s="1"/>
      <c r="L31" s="1"/>
      <c r="M31" s="1"/>
      <c r="P31" s="54"/>
      <c r="Q31" s="1"/>
      <c r="S31" s="7"/>
      <c r="T31" s="20"/>
      <c r="U31" s="20"/>
      <c r="V31" s="20"/>
      <c r="W31" s="20"/>
      <c r="X31" s="25"/>
      <c r="Y31" s="25"/>
      <c r="AC31" s="7"/>
      <c r="AD31" s="20"/>
      <c r="AE31" s="20"/>
      <c r="AF31" s="20"/>
      <c r="AG31" s="20"/>
      <c r="AH31" s="25"/>
      <c r="AJ31" s="17"/>
      <c r="AK31" s="6"/>
      <c r="AM31" s="6"/>
    </row>
    <row r="32" spans="1:39" x14ac:dyDescent="0.2">
      <c r="A32" s="1">
        <v>25000</v>
      </c>
      <c r="B32" s="1"/>
      <c r="C32" s="13">
        <v>0.3</v>
      </c>
      <c r="E32" s="1">
        <f>C32*($A$32*730)</f>
        <v>5475000</v>
      </c>
      <c r="F32" s="1"/>
      <c r="G32" s="29">
        <f t="shared" si="0"/>
        <v>583978.75</v>
      </c>
      <c r="H32" s="29">
        <f>+AH32</f>
        <v>620896.6925</v>
      </c>
      <c r="I32" s="29">
        <f>+H32-G32</f>
        <v>36917.942500000005</v>
      </c>
      <c r="J32" s="54">
        <f>ROUND(+I32/G32,4)</f>
        <v>6.3200000000000006E-2</v>
      </c>
      <c r="K32" s="29">
        <f>ROUND($T$10*$E32,2)</f>
        <v>-3116.7</v>
      </c>
      <c r="L32" s="29">
        <f>ROUND($T$11*$E32,2)</f>
        <v>47.44</v>
      </c>
      <c r="M32" s="29">
        <f>ROUND($T$12*$E32,2)</f>
        <v>11875.46</v>
      </c>
      <c r="N32" s="29">
        <f>+G32+K32+L32+M32</f>
        <v>592784.94999999995</v>
      </c>
      <c r="O32" s="29">
        <f>+H32+K32+L32+M32</f>
        <v>629702.89249999996</v>
      </c>
      <c r="P32" s="54">
        <f>(O32-N32)/N32</f>
        <v>6.2278812071730243E-2</v>
      </c>
      <c r="Q32" s="1"/>
      <c r="S32" s="7">
        <f>$S$20</f>
        <v>330</v>
      </c>
      <c r="T32" s="20">
        <f>$T$17*E32</f>
        <v>191898.75</v>
      </c>
      <c r="U32" s="20">
        <f>$U$17*$A$32</f>
        <v>174000</v>
      </c>
      <c r="V32" s="20">
        <f>$V$17*$A$32</f>
        <v>130750.00000000001</v>
      </c>
      <c r="W32" s="20">
        <f>$W$17*$A$32</f>
        <v>87000</v>
      </c>
      <c r="X32" s="25">
        <f>S32+T32+U32+V32+W32</f>
        <v>583978.75</v>
      </c>
      <c r="Y32" s="25"/>
      <c r="Z32" s="20"/>
      <c r="AC32" s="7">
        <f>$AC$20</f>
        <v>329.9425</v>
      </c>
      <c r="AD32" s="20">
        <f>$AD$17*E32</f>
        <v>174816.75</v>
      </c>
      <c r="AE32" s="20">
        <f>$A$32*$AE$17</f>
        <v>205250.00000000003</v>
      </c>
      <c r="AF32" s="20">
        <f>$A$32*$AF$17</f>
        <v>154000</v>
      </c>
      <c r="AG32" s="20">
        <f>$A$32*$AG$17</f>
        <v>86500</v>
      </c>
      <c r="AH32" s="25">
        <f>AC32+AD32+AE32+AF32+AG32</f>
        <v>620896.6925</v>
      </c>
      <c r="AI32" s="20"/>
      <c r="AJ32" s="17"/>
      <c r="AK32" s="7">
        <f>AH32-X32</f>
        <v>36917.942500000005</v>
      </c>
      <c r="AM32" s="18">
        <f>AH32/X32-1</f>
        <v>6.3217955276626103E-2</v>
      </c>
    </row>
    <row r="33" spans="1:39" x14ac:dyDescent="0.2">
      <c r="C33" s="13">
        <v>0.5</v>
      </c>
      <c r="E33" s="1">
        <f>C33*($A$32*730)</f>
        <v>9125000</v>
      </c>
      <c r="F33" s="1"/>
      <c r="G33" s="29">
        <f t="shared" si="0"/>
        <v>711911.25</v>
      </c>
      <c r="H33" s="29">
        <f>+AH33</f>
        <v>737441.1925</v>
      </c>
      <c r="I33" s="29">
        <f>+H33-G33</f>
        <v>25529.942500000005</v>
      </c>
      <c r="J33" s="54">
        <f>ROUND(+I33/G33,4)</f>
        <v>3.5900000000000001E-2</v>
      </c>
      <c r="K33" s="29">
        <f>ROUND($T$10*$E33,2)</f>
        <v>-5194.51</v>
      </c>
      <c r="L33" s="29">
        <f>ROUND($T$11*$E33,2)</f>
        <v>79.06</v>
      </c>
      <c r="M33" s="29">
        <f>ROUND($T$12*$E33,2)</f>
        <v>19792.439999999999</v>
      </c>
      <c r="N33" s="29">
        <f>+G33+K33+L33+M33</f>
        <v>726588.24</v>
      </c>
      <c r="O33" s="29">
        <f>+H33+K33+L33+M33</f>
        <v>752118.1825</v>
      </c>
      <c r="P33" s="54">
        <f>(O33-N33)/N33</f>
        <v>3.5136740583635105E-2</v>
      </c>
      <c r="Q33" s="1"/>
      <c r="S33" s="7">
        <f>$S$20</f>
        <v>330</v>
      </c>
      <c r="T33" s="20">
        <f>$T$17*E33</f>
        <v>319831.25</v>
      </c>
      <c r="U33" s="20">
        <f>$U$17*$A$32</f>
        <v>174000</v>
      </c>
      <c r="V33" s="20">
        <f>$V$17*$A$32</f>
        <v>130750.00000000001</v>
      </c>
      <c r="W33" s="20">
        <f>$W$17*$A$32</f>
        <v>87000</v>
      </c>
      <c r="X33" s="25">
        <f>S33+T33+U33+V33+W33</f>
        <v>711911.25</v>
      </c>
      <c r="Y33" s="25"/>
      <c r="Z33" s="20"/>
      <c r="AC33" s="7">
        <f>$AC$20</f>
        <v>329.9425</v>
      </c>
      <c r="AD33" s="20">
        <f>$AD$17*E33</f>
        <v>291361.25</v>
      </c>
      <c r="AE33" s="20">
        <f>$A$32*$AE$17</f>
        <v>205250.00000000003</v>
      </c>
      <c r="AF33" s="20">
        <f>$A$32*$AF$17</f>
        <v>154000</v>
      </c>
      <c r="AG33" s="20">
        <f>$A$32*$AG$17</f>
        <v>86500</v>
      </c>
      <c r="AH33" s="25">
        <f>AC33+AD33+AE33+AF33+AG33</f>
        <v>737441.1925</v>
      </c>
      <c r="AI33" s="20"/>
      <c r="AJ33" s="17"/>
      <c r="AK33" s="7">
        <f>AH33-X33</f>
        <v>25529.942500000005</v>
      </c>
      <c r="AM33" s="18">
        <f>AH33/X33-1</f>
        <v>3.5861130864275559E-2</v>
      </c>
    </row>
    <row r="34" spans="1:39" x14ac:dyDescent="0.2">
      <c r="C34" s="13">
        <v>0.7</v>
      </c>
      <c r="E34" s="1">
        <f>C34*($A$32*730)</f>
        <v>12775000</v>
      </c>
      <c r="F34" s="1"/>
      <c r="G34" s="29">
        <f t="shared" si="0"/>
        <v>839843.75</v>
      </c>
      <c r="H34" s="29">
        <f>+AH34</f>
        <v>853985.6925</v>
      </c>
      <c r="I34" s="29">
        <f>+H34-G34</f>
        <v>14141.942500000005</v>
      </c>
      <c r="J34" s="54">
        <f>ROUND(+I34/G34,4)</f>
        <v>1.6799999999999999E-2</v>
      </c>
      <c r="K34" s="29">
        <f>ROUND($T$10*$E34,2)</f>
        <v>-7272.31</v>
      </c>
      <c r="L34" s="29">
        <f>ROUND($T$11*$E34,2)</f>
        <v>110.69</v>
      </c>
      <c r="M34" s="29">
        <f>ROUND($T$12*$E34,2)</f>
        <v>27709.42</v>
      </c>
      <c r="N34" s="29">
        <f>+G34+K34+L34+M34</f>
        <v>860391.54999999993</v>
      </c>
      <c r="O34" s="29">
        <f>+H34+K34+L34+M34</f>
        <v>874533.49249999993</v>
      </c>
      <c r="P34" s="54">
        <f>(O34-N34)/N34</f>
        <v>1.6436635738693629E-2</v>
      </c>
      <c r="Q34" s="1"/>
      <c r="S34" s="7">
        <f>$S$20</f>
        <v>330</v>
      </c>
      <c r="T34" s="20">
        <f>$T$17*E34</f>
        <v>447763.75</v>
      </c>
      <c r="U34" s="20">
        <f>$U$17*$A$32</f>
        <v>174000</v>
      </c>
      <c r="V34" s="20">
        <f>$V$17*$A$32</f>
        <v>130750.00000000001</v>
      </c>
      <c r="W34" s="20">
        <f>$W$17*$A$32</f>
        <v>87000</v>
      </c>
      <c r="X34" s="25">
        <f>S34+T34+U34+V34+W34</f>
        <v>839843.75</v>
      </c>
      <c r="Y34" s="25"/>
      <c r="Z34" s="20"/>
      <c r="AC34" s="7">
        <f>$AC$20</f>
        <v>329.9425</v>
      </c>
      <c r="AD34" s="20">
        <f>$AD$17*E34</f>
        <v>407905.75</v>
      </c>
      <c r="AE34" s="20">
        <f>$A$32*$AE$17</f>
        <v>205250.00000000003</v>
      </c>
      <c r="AF34" s="20">
        <f>$A$32*$AF$17</f>
        <v>154000</v>
      </c>
      <c r="AG34" s="20">
        <f>$A$32*$AG$17</f>
        <v>86500</v>
      </c>
      <c r="AH34" s="25">
        <f>AC34+AD34+AE34+AF34+AG34</f>
        <v>853985.6925</v>
      </c>
      <c r="AI34" s="20"/>
      <c r="AJ34" s="17"/>
      <c r="AK34" s="7">
        <f>AH34-X34</f>
        <v>14141.942500000005</v>
      </c>
      <c r="AM34" s="18">
        <f>AH34/X34-1</f>
        <v>1.6838778046511571E-2</v>
      </c>
    </row>
    <row r="35" spans="1:39" x14ac:dyDescent="0.2">
      <c r="C35" s="13"/>
      <c r="E35" s="1"/>
      <c r="F35" s="1"/>
      <c r="G35" s="29"/>
      <c r="H35" s="29"/>
      <c r="J35" s="5"/>
      <c r="K35" s="1"/>
      <c r="L35" s="1"/>
      <c r="M35" s="1"/>
      <c r="P35" s="54"/>
      <c r="Q35" s="1"/>
      <c r="S35" s="7"/>
      <c r="T35" s="20"/>
      <c r="U35" s="20"/>
      <c r="V35" s="20"/>
      <c r="W35" s="20"/>
      <c r="X35" s="25"/>
      <c r="Y35" s="25"/>
      <c r="AC35" s="7"/>
      <c r="AD35" s="20"/>
      <c r="AE35" s="20"/>
      <c r="AF35" s="20"/>
      <c r="AG35" s="20"/>
      <c r="AH35" s="25"/>
      <c r="AJ35" s="17"/>
      <c r="AK35" s="6"/>
      <c r="AM35" s="6"/>
    </row>
    <row r="36" spans="1:39" x14ac:dyDescent="0.2">
      <c r="A36" s="1">
        <v>50000</v>
      </c>
      <c r="B36" s="1"/>
      <c r="C36" s="13">
        <v>0.3</v>
      </c>
      <c r="E36" s="1">
        <f>C36*($A$36*730)</f>
        <v>10950000</v>
      </c>
      <c r="F36" s="1"/>
      <c r="G36" s="29">
        <f t="shared" si="0"/>
        <v>1167627.5</v>
      </c>
      <c r="H36" s="29">
        <f>+AH36</f>
        <v>1241463.4425000001</v>
      </c>
      <c r="I36" s="29">
        <f>+H36-G36</f>
        <v>73835.942500000121</v>
      </c>
      <c r="J36" s="54">
        <f>ROUND(+I36/G36,4)</f>
        <v>6.3200000000000006E-2</v>
      </c>
      <c r="K36" s="29">
        <f>ROUND($T$10*$E36,2)</f>
        <v>-6233.41</v>
      </c>
      <c r="L36" s="29">
        <f>ROUND($T$11*$E36,2)</f>
        <v>94.88</v>
      </c>
      <c r="M36" s="29">
        <f>ROUND($T$12*$E36,2)</f>
        <v>23750.93</v>
      </c>
      <c r="N36" s="29">
        <f>+G36+K36+L36+M36</f>
        <v>1185239.8999999999</v>
      </c>
      <c r="O36" s="29">
        <f>+H36+K36+L36+M36</f>
        <v>1259075.8425</v>
      </c>
      <c r="P36" s="54">
        <f>(O36-N36)/N36</f>
        <v>6.2296200541341988E-2</v>
      </c>
      <c r="Q36" s="1"/>
      <c r="S36" s="7">
        <f>$S$20</f>
        <v>330</v>
      </c>
      <c r="T36" s="20">
        <f>$T$17*E36</f>
        <v>383797.5</v>
      </c>
      <c r="U36" s="20">
        <f>$U$17*$A$36</f>
        <v>348000</v>
      </c>
      <c r="V36" s="20">
        <f>$V$17*$A$36</f>
        <v>261500.00000000003</v>
      </c>
      <c r="W36" s="20">
        <f>$W$17*$A$36</f>
        <v>174000</v>
      </c>
      <c r="X36" s="25">
        <f>S36+T36+U36+V36+W36</f>
        <v>1167627.5</v>
      </c>
      <c r="Y36" s="25"/>
      <c r="Z36" s="20"/>
      <c r="AC36" s="7">
        <f>$AC$20</f>
        <v>329.9425</v>
      </c>
      <c r="AD36" s="20">
        <f>$AD$17*E36</f>
        <v>349633.5</v>
      </c>
      <c r="AE36" s="20">
        <f>$A$36*$AE$17</f>
        <v>410500.00000000006</v>
      </c>
      <c r="AF36" s="20">
        <f>$A$36*$AF$17</f>
        <v>308000</v>
      </c>
      <c r="AG36" s="20">
        <f>$A$36*$AG$17</f>
        <v>173000</v>
      </c>
      <c r="AH36" s="25">
        <f>AC36+AD36+AE36+AF36+AG36</f>
        <v>1241463.4425000001</v>
      </c>
      <c r="AI36" s="20"/>
      <c r="AJ36" s="17"/>
      <c r="AK36" s="7">
        <f>AH36-X36</f>
        <v>73835.942500000121</v>
      </c>
      <c r="AM36" s="18">
        <f>AH36/X36-1</f>
        <v>6.3235871457292703E-2</v>
      </c>
    </row>
    <row r="37" spans="1:39" x14ac:dyDescent="0.2">
      <c r="C37" s="13">
        <v>0.5</v>
      </c>
      <c r="E37" s="1">
        <f>C37*($A$36*730)</f>
        <v>18250000</v>
      </c>
      <c r="F37" s="1"/>
      <c r="G37" s="29">
        <f t="shared" si="0"/>
        <v>1423492.5</v>
      </c>
      <c r="H37" s="29">
        <f>+AH37</f>
        <v>1474552.4425000001</v>
      </c>
      <c r="I37" s="29">
        <f>+H37-G37</f>
        <v>51059.942500000121</v>
      </c>
      <c r="J37" s="54">
        <f>ROUND(+I37/G37,4)</f>
        <v>3.5900000000000001E-2</v>
      </c>
      <c r="K37" s="29">
        <f>ROUND($T$10*$E37,2)</f>
        <v>-10389.01</v>
      </c>
      <c r="L37" s="29">
        <f>ROUND($T$11*$E37,2)</f>
        <v>158.13</v>
      </c>
      <c r="M37" s="29">
        <f>ROUND($T$12*$E37,2)</f>
        <v>39584.879999999997</v>
      </c>
      <c r="N37" s="29">
        <f>+G37+K37+L37+M37</f>
        <v>1452846.4999999998</v>
      </c>
      <c r="O37" s="29">
        <f>+H37+K37+L37+M37</f>
        <v>1503906.4424999999</v>
      </c>
      <c r="P37" s="54">
        <f>(O37-N37)/N37</f>
        <v>3.514476064746009E-2</v>
      </c>
      <c r="Q37" s="1"/>
      <c r="S37" s="7">
        <f>$S$20</f>
        <v>330</v>
      </c>
      <c r="T37" s="20">
        <f>$T$17*E37</f>
        <v>639662.5</v>
      </c>
      <c r="U37" s="20">
        <f>$U$17*$A$36</f>
        <v>348000</v>
      </c>
      <c r="V37" s="20">
        <f>$V$17*$A$36</f>
        <v>261500.00000000003</v>
      </c>
      <c r="W37" s="20">
        <f>$W$17*$A$36</f>
        <v>174000</v>
      </c>
      <c r="X37" s="25">
        <f>S37+T37+U37+V37+W37</f>
        <v>1423492.5</v>
      </c>
      <c r="Y37" s="25"/>
      <c r="Z37" s="20"/>
      <c r="AC37" s="7">
        <f>$AC$20</f>
        <v>329.9425</v>
      </c>
      <c r="AD37" s="20">
        <f>$AD$17*E37</f>
        <v>582722.5</v>
      </c>
      <c r="AE37" s="20">
        <f>$A$36*$AE$17</f>
        <v>410500.00000000006</v>
      </c>
      <c r="AF37" s="20">
        <f>$A$36*$AF$17</f>
        <v>308000</v>
      </c>
      <c r="AG37" s="20">
        <f>$A$36*$AG$17</f>
        <v>173000</v>
      </c>
      <c r="AH37" s="25">
        <f>AC37+AD37+AE37+AF37+AG37</f>
        <v>1474552.4425000001</v>
      </c>
      <c r="AI37" s="20"/>
      <c r="AJ37" s="17"/>
      <c r="AK37" s="7">
        <f>AH37-X37</f>
        <v>51059.942500000121</v>
      </c>
      <c r="AM37" s="18">
        <f>AH37/X37-1</f>
        <v>3.586948473560625E-2</v>
      </c>
    </row>
    <row r="38" spans="1:39" x14ac:dyDescent="0.2">
      <c r="C38" s="13">
        <v>0.7</v>
      </c>
      <c r="E38" s="1">
        <f>C38*($A$36*730)</f>
        <v>25550000</v>
      </c>
      <c r="F38" s="1"/>
      <c r="G38" s="29">
        <f t="shared" si="0"/>
        <v>1679357.5</v>
      </c>
      <c r="H38" s="29">
        <f>+AH38</f>
        <v>1707641.4425000001</v>
      </c>
      <c r="I38" s="29">
        <f>+H38-G38</f>
        <v>28283.942500000121</v>
      </c>
      <c r="J38" s="54">
        <f>ROUND(+I38/G38,4)</f>
        <v>1.6799999999999999E-2</v>
      </c>
      <c r="K38" s="29">
        <f>ROUND($T$10*$E38,2)</f>
        <v>-14544.62</v>
      </c>
      <c r="L38" s="29">
        <f>ROUND($T$11*$E38,2)</f>
        <v>221.38</v>
      </c>
      <c r="M38" s="29">
        <f>ROUND($T$12*$E38,2)</f>
        <v>55418.83</v>
      </c>
      <c r="N38" s="29">
        <f>+G38+K38+L38+M38</f>
        <v>1720453.0899999999</v>
      </c>
      <c r="O38" s="29">
        <f>+H38+K38+L38+M38</f>
        <v>1748737.0325</v>
      </c>
      <c r="P38" s="54">
        <f>(O38-N38)/N38</f>
        <v>1.6439821965735853E-2</v>
      </c>
      <c r="Q38" s="1"/>
      <c r="S38" s="7">
        <f>$S$20</f>
        <v>330</v>
      </c>
      <c r="T38" s="20">
        <f>$T$17*E38</f>
        <v>895527.5</v>
      </c>
      <c r="U38" s="20">
        <f>$U$17*$A$36</f>
        <v>348000</v>
      </c>
      <c r="V38" s="20">
        <f>$V$17*$A$36</f>
        <v>261500.00000000003</v>
      </c>
      <c r="W38" s="20">
        <f>$W$17*$A$36</f>
        <v>174000</v>
      </c>
      <c r="X38" s="25">
        <f>S38+T38+U38+V38+W38</f>
        <v>1679357.5</v>
      </c>
      <c r="Y38" s="25"/>
      <c r="Z38" s="20"/>
      <c r="AC38" s="7">
        <f>$AC$20</f>
        <v>329.9425</v>
      </c>
      <c r="AD38" s="20">
        <f>$AD$17*E38</f>
        <v>815811.5</v>
      </c>
      <c r="AE38" s="20">
        <f>$A$36*$AE$17</f>
        <v>410500.00000000006</v>
      </c>
      <c r="AF38" s="20">
        <f>$A$36*$AF$17</f>
        <v>308000</v>
      </c>
      <c r="AG38" s="20">
        <f>$A$36*$AG$17</f>
        <v>173000</v>
      </c>
      <c r="AH38" s="25">
        <f>AC38+AD38+AE38+AF38+AG38</f>
        <v>1707641.4425000001</v>
      </c>
      <c r="AI38" s="20"/>
      <c r="AJ38" s="17"/>
      <c r="AK38" s="7">
        <f>AH38-X38</f>
        <v>28283.942500000121</v>
      </c>
      <c r="AM38" s="18">
        <f>AH38/X38-1</f>
        <v>1.6842121168363589E-2</v>
      </c>
    </row>
    <row r="39" spans="1:39" x14ac:dyDescent="0.2">
      <c r="T39" s="20"/>
      <c r="U39" s="20"/>
      <c r="V39" s="20"/>
      <c r="W39" s="20"/>
      <c r="X39" s="20"/>
      <c r="Y39" s="20"/>
    </row>
    <row r="40" spans="1:39" x14ac:dyDescent="0.2">
      <c r="A40" s="17" t="s">
        <v>314</v>
      </c>
      <c r="T40" s="20"/>
      <c r="U40" s="20"/>
      <c r="V40" s="20"/>
      <c r="W40" s="20"/>
      <c r="X40" s="20"/>
      <c r="Y40" s="20"/>
    </row>
    <row r="41" spans="1:39" x14ac:dyDescent="0.2">
      <c r="A41" s="170" t="str">
        <f>("Average usage = "&amp;TEXT(INPUT!I20*1,"000,000")&amp;" kWh per month")</f>
        <v>Average usage = 1,326,570 kWh per month</v>
      </c>
      <c r="T41" s="20"/>
      <c r="U41" s="20"/>
      <c r="V41" s="20"/>
      <c r="W41" s="20"/>
      <c r="X41" s="20"/>
      <c r="Y41" s="20"/>
    </row>
    <row r="42" spans="1:39" x14ac:dyDescent="0.2">
      <c r="A42" s="172" t="s">
        <v>315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1"/>
      <c r="AF42" s="20"/>
      <c r="AG42" s="20"/>
      <c r="AH42" s="20"/>
      <c r="AI42" s="20"/>
      <c r="AJ42" s="20"/>
      <c r="AK42" s="6"/>
    </row>
    <row r="43" spans="1:39" x14ac:dyDescent="0.2">
      <c r="A43" s="173" t="s">
        <v>96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73" t="str">
        <f>+'Rate Case Constants'!C26</f>
        <v>Calculations may vary from other schedules due to rounding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58"/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5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5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5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5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5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5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5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5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5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5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5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5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5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5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5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5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10.85546875" bestFit="1" customWidth="1"/>
    <col min="6" max="6" width="2" customWidth="1"/>
    <col min="7" max="7" width="15.140625" bestFit="1" customWidth="1"/>
    <col min="8" max="8" width="14.7109375" customWidth="1"/>
    <col min="9" max="9" width="13.42578125" bestFit="1" customWidth="1"/>
    <col min="10" max="10" width="9.85546875" customWidth="1"/>
    <col min="11" max="11" width="13.7109375" customWidth="1"/>
    <col min="12" max="12" width="12.28515625" bestFit="1" customWidth="1"/>
    <col min="13" max="13" width="14.5703125" customWidth="1"/>
    <col min="14" max="15" width="15.140625" bestFit="1" customWidth="1"/>
    <col min="16" max="18" width="9.85546875" customWidth="1"/>
    <col min="19" max="19" width="10" customWidth="1"/>
    <col min="20" max="20" width="14.42578125" bestFit="1" customWidth="1"/>
    <col min="21" max="21" width="12.7109375" bestFit="1" customWidth="1"/>
    <col min="22" max="22" width="13.85546875" bestFit="1" customWidth="1"/>
    <col min="23" max="23" width="12.7109375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1.7109375" customWidth="1"/>
    <col min="30" max="30" width="14.42578125" bestFit="1" customWidth="1"/>
    <col min="31" max="31" width="12.7109375" bestFit="1" customWidth="1"/>
    <col min="32" max="32" width="13.85546875" bestFit="1" customWidth="1"/>
    <col min="33" max="33" width="12.7109375" bestFit="1" customWidth="1"/>
    <col min="34" max="35" width="14.42578125" bestFit="1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435" t="str">
        <f>+'Rate Case Constants'!C9</f>
        <v>LOUISVILLE GAS AND ELECTRIC COMPANY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39" x14ac:dyDescent="0.2">
      <c r="A2" s="435" t="str">
        <f>+'Rate Case Constants'!C10</f>
        <v>CASE NO. 2018-00295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1:39" x14ac:dyDescent="0.2">
      <c r="A3" s="437" t="str">
        <f>+'Rate Case Constants'!C24</f>
        <v>Typical Bill Comparison under Present &amp; Proposed Rates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39" x14ac:dyDescent="0.2">
      <c r="A4" s="435" t="str">
        <f>+'Rate Case Constants'!C21</f>
        <v>FORECAST PERIOD FOR THE 12 MONTHS ENDED APRIL 30, 2020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</row>
    <row r="5" spans="1:3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39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39" x14ac:dyDescent="0.2">
      <c r="A7" s="2" t="str">
        <f>+'Rate Case Constants'!C33</f>
        <v>DATA: ____BASE PERIOD__X___FORECASTED PERIOD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37" t="str">
        <f>+'Rate Case Constants'!C25</f>
        <v>SCHEDULE N</v>
      </c>
    </row>
    <row r="8" spans="1:39" x14ac:dyDescent="0.2">
      <c r="A8" s="2" t="str">
        <f>+'Rate Case Constants'!C29</f>
        <v>TYPE OF FILING: __X__ ORIGINAL  _____ UPDATED  _____ REVISED</v>
      </c>
      <c r="B8" s="2"/>
      <c r="C8" s="2"/>
      <c r="D8" s="2"/>
      <c r="E8" s="2"/>
      <c r="F8" s="2"/>
      <c r="G8" s="2"/>
      <c r="H8" s="2"/>
      <c r="I8" s="2"/>
      <c r="J8" s="2"/>
      <c r="K8" s="2"/>
      <c r="L8" s="238"/>
      <c r="M8" s="2"/>
      <c r="N8" s="2"/>
      <c r="O8" s="2"/>
      <c r="P8" s="238" t="str">
        <f>+'Rate Case Constants'!L17</f>
        <v>PAGE 10 of 26</v>
      </c>
    </row>
    <row r="9" spans="1:39" x14ac:dyDescent="0.2">
      <c r="A9" s="2" t="str">
        <f>+'Rate Case Constants'!C34</f>
        <v>WORKPAPER REFERENCE NO(S):________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38" t="str">
        <f>+'Rate Case Constants'!C36</f>
        <v>WITNESS:   R. M. CONROY</v>
      </c>
    </row>
    <row r="10" spans="1:3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S10" s="83" t="s">
        <v>70</v>
      </c>
      <c r="T10">
        <f>+INPUT!G61</f>
        <v>-5.8049431987428101E-4</v>
      </c>
    </row>
    <row r="11" spans="1:39" x14ac:dyDescent="0.2">
      <c r="A11" s="260" t="s">
        <v>280</v>
      </c>
      <c r="S11" s="83" t="s">
        <v>72</v>
      </c>
      <c r="T11">
        <f>+INPUT!H61</f>
        <v>0</v>
      </c>
      <c r="U11" s="46" t="s">
        <v>274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3" t="s">
        <v>71</v>
      </c>
      <c r="T12">
        <f>+INPUT!I61</f>
        <v>2.2904460360449203E-3</v>
      </c>
      <c r="AC12" s="58" t="s">
        <v>96</v>
      </c>
    </row>
    <row r="13" spans="1:39" x14ac:dyDescent="0.2">
      <c r="A13" s="44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U13" s="3" t="s">
        <v>1</v>
      </c>
      <c r="V13" s="3" t="s">
        <v>1</v>
      </c>
      <c r="W13" s="3" t="s">
        <v>1</v>
      </c>
      <c r="Z13" s="3" t="s">
        <v>71</v>
      </c>
      <c r="AD13" s="20"/>
      <c r="AE13" s="21" t="s">
        <v>9</v>
      </c>
      <c r="AF13" s="21" t="s">
        <v>9</v>
      </c>
      <c r="AG13" s="21" t="s">
        <v>9</v>
      </c>
      <c r="AH13" s="20"/>
      <c r="AI13" s="3" t="s">
        <v>71</v>
      </c>
    </row>
    <row r="14" spans="1:39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1" t="s">
        <v>34</v>
      </c>
      <c r="AF14" s="21" t="s">
        <v>30</v>
      </c>
      <c r="AG14" s="21" t="s">
        <v>22</v>
      </c>
      <c r="AH14" s="21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"/>
      <c r="R15" s="3"/>
      <c r="S15" s="3" t="s">
        <v>2</v>
      </c>
      <c r="T15" s="3" t="s">
        <v>57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75</v>
      </c>
      <c r="AC15" s="26" t="s">
        <v>56</v>
      </c>
      <c r="AD15" s="3" t="s">
        <v>57</v>
      </c>
      <c r="AE15" s="21" t="s">
        <v>25</v>
      </c>
      <c r="AF15" s="21" t="s">
        <v>25</v>
      </c>
      <c r="AG15" s="21" t="s">
        <v>18</v>
      </c>
      <c r="AH15" s="21" t="s">
        <v>5</v>
      </c>
      <c r="AI15" s="3" t="s">
        <v>75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"/>
      <c r="R16" s="3"/>
      <c r="S16" s="26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6" t="s">
        <v>3</v>
      </c>
      <c r="AD16" s="3" t="s">
        <v>3</v>
      </c>
      <c r="AE16" s="21" t="s">
        <v>3</v>
      </c>
      <c r="AF16" s="21" t="s">
        <v>3</v>
      </c>
      <c r="AG16" s="21" t="s">
        <v>3</v>
      </c>
      <c r="AH16" s="21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"/>
      <c r="R17" s="3"/>
      <c r="S17" s="26"/>
      <c r="T17" s="42">
        <f>+INPUT!$K$6</f>
        <v>3.3779999999999998E-2</v>
      </c>
      <c r="U17" s="43">
        <f>+INPUT!$K$14</f>
        <v>7</v>
      </c>
      <c r="V17" s="43">
        <f>+INPUT!$K$15</f>
        <v>5.25</v>
      </c>
      <c r="W17" s="43">
        <f>+INPUT!$K$16</f>
        <v>1.86</v>
      </c>
      <c r="X17" s="3"/>
      <c r="Y17" s="3"/>
      <c r="Z17" s="42"/>
      <c r="AC17" s="26"/>
      <c r="AD17" s="42">
        <f>+INPUT!$K$28</f>
        <v>3.1519999999999999E-2</v>
      </c>
      <c r="AE17" s="43">
        <f>+INPUT!$K$35</f>
        <v>8.01</v>
      </c>
      <c r="AF17" s="43">
        <f>+INPUT!$K$36</f>
        <v>6.01</v>
      </c>
      <c r="AG17" s="43">
        <f>+INPUT!$K$37</f>
        <v>1.92</v>
      </c>
      <c r="AH17" s="21"/>
      <c r="AI17" s="42"/>
      <c r="AK17" s="3"/>
      <c r="AL17" s="3"/>
      <c r="AM17" s="3"/>
    </row>
    <row r="18" spans="1:39" x14ac:dyDescent="0.2">
      <c r="A18" s="16"/>
      <c r="B18" s="16"/>
      <c r="C18" s="80"/>
      <c r="D18" s="16"/>
      <c r="E18" s="80"/>
      <c r="F18" s="80"/>
      <c r="G18" s="234"/>
      <c r="H18" s="234"/>
      <c r="I18" s="234" t="str">
        <f>("[ "&amp;H13&amp;" - "&amp;G13&amp;" ]")</f>
        <v>[ B - A ]</v>
      </c>
      <c r="J18" s="234" t="str">
        <f>("[ "&amp;I13&amp;" / "&amp;G13&amp;" ]")</f>
        <v>[ C / A ]</v>
      </c>
      <c r="K18" s="262"/>
      <c r="L18" s="262"/>
      <c r="M18" s="262"/>
      <c r="N18" s="234" t="str">
        <f>("["&amp;G13&amp;"+"&amp;$K$13&amp;"+"&amp;$L$13&amp;"+"&amp;$M$13&amp;"]")</f>
        <v>[A+E+F+G]</v>
      </c>
      <c r="O18" s="234" t="str">
        <f>("["&amp;H13&amp;"+"&amp;$K$13&amp;"+"&amp;$L$13&amp;"+"&amp;$M$13&amp;"]")</f>
        <v>[B+E+F+G]</v>
      </c>
      <c r="P18" s="234" t="str">
        <f>("[("&amp;O13&amp;" - "&amp;N13&amp;")/"&amp;N13&amp;"]")</f>
        <v>[(I - H)/H]</v>
      </c>
      <c r="Q18" s="3"/>
      <c r="R18" s="3"/>
      <c r="T18" s="3" t="s">
        <v>14</v>
      </c>
      <c r="U18" s="3" t="s">
        <v>59</v>
      </c>
      <c r="V18" s="3" t="s">
        <v>59</v>
      </c>
      <c r="W18" s="3" t="s">
        <v>59</v>
      </c>
      <c r="X18" s="3"/>
      <c r="Y18" s="3"/>
      <c r="Z18" s="3" t="s">
        <v>14</v>
      </c>
      <c r="AC18" s="26"/>
      <c r="AD18" s="3" t="s">
        <v>14</v>
      </c>
      <c r="AE18" s="3" t="s">
        <v>59</v>
      </c>
      <c r="AF18" s="3" t="s">
        <v>59</v>
      </c>
      <c r="AG18" s="3" t="s">
        <v>59</v>
      </c>
      <c r="AH18" s="21"/>
      <c r="AI18" s="3" t="s">
        <v>14</v>
      </c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164"/>
      <c r="J19" s="164"/>
      <c r="K19" s="3"/>
      <c r="L19" s="3"/>
      <c r="M19" s="3"/>
      <c r="N19" s="164"/>
      <c r="O19" s="3"/>
      <c r="P19" s="164"/>
      <c r="Q19" s="3"/>
      <c r="R19" s="3"/>
      <c r="U19" s="3"/>
      <c r="V19" s="3"/>
      <c r="W19" s="3"/>
      <c r="X19" s="3"/>
      <c r="Y19" s="3"/>
      <c r="AC19" s="26"/>
      <c r="AD19" s="3"/>
      <c r="AE19" s="21"/>
      <c r="AF19" s="21"/>
      <c r="AG19" s="21"/>
      <c r="AH19" s="21"/>
      <c r="AK19" s="3"/>
      <c r="AL19" s="3"/>
      <c r="AM19" s="3"/>
    </row>
    <row r="20" spans="1:39" x14ac:dyDescent="0.2">
      <c r="A20" s="1">
        <v>1000</v>
      </c>
      <c r="B20" s="1"/>
      <c r="C20" s="13">
        <v>0.3</v>
      </c>
      <c r="E20" s="1">
        <f>C20*($A$20*730)</f>
        <v>219000</v>
      </c>
      <c r="F20" s="1"/>
      <c r="G20" s="29">
        <f>+X20</f>
        <v>23007.82</v>
      </c>
      <c r="H20" s="29">
        <f>+AH20</f>
        <v>24342.84</v>
      </c>
      <c r="I20" s="29">
        <f>+H20-G20</f>
        <v>1335.0200000000004</v>
      </c>
      <c r="J20" s="54">
        <f>ROUND(+I20/G20,4)</f>
        <v>5.8000000000000003E-2</v>
      </c>
      <c r="K20" s="29">
        <f>ROUND($T$10*$E20,2)</f>
        <v>-127.13</v>
      </c>
      <c r="L20" s="29">
        <f>ROUND($T$11*$E20,2)</f>
        <v>0</v>
      </c>
      <c r="M20" s="29">
        <f>ROUND($T$12*$E20,2)</f>
        <v>501.61</v>
      </c>
      <c r="N20" s="29">
        <f>+G20+K20+L20+M20</f>
        <v>23382.3</v>
      </c>
      <c r="O20" s="29">
        <f>+H20+K20+L20+M20</f>
        <v>24717.32</v>
      </c>
      <c r="P20" s="54">
        <f>(O20-N20)/N20</f>
        <v>5.709532424098572E-2</v>
      </c>
      <c r="Q20" s="1"/>
      <c r="S20" s="7">
        <f>+INPUT!$K$4</f>
        <v>1500</v>
      </c>
      <c r="T20" s="20">
        <f>$T$17*E20</f>
        <v>7397.82</v>
      </c>
      <c r="U20" s="20">
        <f>$U$17*$A$20</f>
        <v>7000</v>
      </c>
      <c r="V20" s="20">
        <f>$V$17*$A$20</f>
        <v>5250</v>
      </c>
      <c r="W20" s="20">
        <f>$W$17*$A$20</f>
        <v>1860</v>
      </c>
      <c r="X20" s="25">
        <f>S20+T20+U20+V20+W20</f>
        <v>23007.82</v>
      </c>
      <c r="Y20" s="25"/>
      <c r="Z20" s="20"/>
      <c r="AC20" s="7">
        <f>INPUT!$K$26</f>
        <v>1499.96</v>
      </c>
      <c r="AD20" s="20">
        <f>$AD$17*E20</f>
        <v>6902.88</v>
      </c>
      <c r="AE20" s="20">
        <f>$A$20*$AE$17</f>
        <v>8010</v>
      </c>
      <c r="AF20" s="20">
        <f>$A$20*$AF$17</f>
        <v>6010</v>
      </c>
      <c r="AG20" s="20">
        <f>$A$20*$AG$17</f>
        <v>1920</v>
      </c>
      <c r="AH20" s="25">
        <f>AC20+AD20+AE20+AF20+AG20</f>
        <v>24342.84</v>
      </c>
      <c r="AI20" s="20"/>
      <c r="AJ20" s="17"/>
      <c r="AK20" s="7">
        <f>AH20-X20</f>
        <v>1335.0200000000004</v>
      </c>
      <c r="AM20" s="18">
        <f>AH20/X20-1</f>
        <v>5.8024619455472104E-2</v>
      </c>
    </row>
    <row r="21" spans="1:39" x14ac:dyDescent="0.2">
      <c r="C21" s="13">
        <v>0.5</v>
      </c>
      <c r="E21" s="1">
        <f>C21*($A$20*730)</f>
        <v>365000</v>
      </c>
      <c r="F21" s="1"/>
      <c r="G21" s="29">
        <f t="shared" ref="G21:G38" si="0">+X21</f>
        <v>27939.699999999997</v>
      </c>
      <c r="H21" s="29">
        <f>+AH21</f>
        <v>28944.76</v>
      </c>
      <c r="I21" s="29">
        <f>+H21-G21</f>
        <v>1005.0600000000013</v>
      </c>
      <c r="J21" s="54">
        <f>ROUND(+I21/G21,4)</f>
        <v>3.5999999999999997E-2</v>
      </c>
      <c r="K21" s="29">
        <f>ROUND($T$10*$E21,2)</f>
        <v>-211.88</v>
      </c>
      <c r="L21" s="29">
        <f>ROUND($T$11*$E21,2)</f>
        <v>0</v>
      </c>
      <c r="M21" s="29">
        <f>ROUND($T$12*$E21,2)</f>
        <v>836.01</v>
      </c>
      <c r="N21" s="29">
        <f>+G21+K21+L21+M21</f>
        <v>28563.829999999994</v>
      </c>
      <c r="O21" s="29">
        <f>+H21+K21+L21+M21</f>
        <v>29568.889999999996</v>
      </c>
      <c r="P21" s="54">
        <f>(O21-N21)/N21</f>
        <v>3.5186457838462193E-2</v>
      </c>
      <c r="Q21" s="1"/>
      <c r="S21" s="7">
        <f>$S$20</f>
        <v>1500</v>
      </c>
      <c r="T21" s="20">
        <f>$T$17*E21</f>
        <v>12329.699999999999</v>
      </c>
      <c r="U21" s="20">
        <f>$U$17*$A$20</f>
        <v>7000</v>
      </c>
      <c r="V21" s="20">
        <f>$V$17*$A$20</f>
        <v>5250</v>
      </c>
      <c r="W21" s="20">
        <f>$W$17*$A$20</f>
        <v>1860</v>
      </c>
      <c r="X21" s="25">
        <f>S21+T21+U21+V21+W21</f>
        <v>27939.699999999997</v>
      </c>
      <c r="Y21" s="25"/>
      <c r="Z21" s="20"/>
      <c r="AC21" s="7">
        <f>$AC$20</f>
        <v>1499.96</v>
      </c>
      <c r="AD21" s="20">
        <f>$AD$17*E21</f>
        <v>11504.8</v>
      </c>
      <c r="AE21" s="20">
        <f>$A$20*$AE$17</f>
        <v>8010</v>
      </c>
      <c r="AF21" s="20">
        <f>$A$20*$AF$17</f>
        <v>6010</v>
      </c>
      <c r="AG21" s="20">
        <f>$A$20*$AG$17</f>
        <v>1920</v>
      </c>
      <c r="AH21" s="25">
        <f>AC21+AD21+AE21+AF21+AG21</f>
        <v>28944.76</v>
      </c>
      <c r="AI21" s="20"/>
      <c r="AJ21" s="17"/>
      <c r="AK21" s="7">
        <f>AH21-X21</f>
        <v>1005.0600000000013</v>
      </c>
      <c r="AM21" s="18">
        <f>AH21/X21-1</f>
        <v>3.5972469282061104E-2</v>
      </c>
    </row>
    <row r="22" spans="1:39" x14ac:dyDescent="0.2">
      <c r="C22" s="13">
        <v>0.7</v>
      </c>
      <c r="E22" s="1">
        <f>C22*($A$20*730)</f>
        <v>510999.99999999994</v>
      </c>
      <c r="F22" s="1"/>
      <c r="G22" s="29">
        <f t="shared" si="0"/>
        <v>32871.58</v>
      </c>
      <c r="H22" s="29">
        <f>+AH22</f>
        <v>33546.679999999993</v>
      </c>
      <c r="I22" s="29">
        <f>+H22-G22</f>
        <v>675.09999999999127</v>
      </c>
      <c r="J22" s="54">
        <f>ROUND(+I22/G22,4)</f>
        <v>2.0500000000000001E-2</v>
      </c>
      <c r="K22" s="29">
        <f>ROUND($T$10*$E22,2)</f>
        <v>-296.63</v>
      </c>
      <c r="L22" s="29">
        <f>ROUND($T$11*$E22,2)</f>
        <v>0</v>
      </c>
      <c r="M22" s="29">
        <f>ROUND($T$12*$E22,2)</f>
        <v>1170.42</v>
      </c>
      <c r="N22" s="29">
        <f>+G22+K22+L22+M22</f>
        <v>33745.370000000003</v>
      </c>
      <c r="O22" s="29">
        <f>+H22+K22+L22+M22</f>
        <v>34420.469999999994</v>
      </c>
      <c r="P22" s="54">
        <f>(O22-N22)/N22</f>
        <v>2.0005707449643941E-2</v>
      </c>
      <c r="Q22" s="1"/>
      <c r="S22" s="7">
        <f>$S$20</f>
        <v>1500</v>
      </c>
      <c r="T22" s="20">
        <f>$T$17*E22</f>
        <v>17261.579999999998</v>
      </c>
      <c r="U22" s="20">
        <f>$U$17*$A$20</f>
        <v>7000</v>
      </c>
      <c r="V22" s="20">
        <f>$V$17*$A$20</f>
        <v>5250</v>
      </c>
      <c r="W22" s="20">
        <f>$W$17*$A$20</f>
        <v>1860</v>
      </c>
      <c r="X22" s="25">
        <f>S22+T22+U22+V22+W22</f>
        <v>32871.58</v>
      </c>
      <c r="Y22" s="25"/>
      <c r="Z22" s="20"/>
      <c r="AC22" s="7">
        <f>$AC$20</f>
        <v>1499.96</v>
      </c>
      <c r="AD22" s="20">
        <f>$AD$17*E22</f>
        <v>16106.719999999998</v>
      </c>
      <c r="AE22" s="20">
        <f>$A$20*$AE$17</f>
        <v>8010</v>
      </c>
      <c r="AF22" s="20">
        <f>$A$20*$AF$17</f>
        <v>6010</v>
      </c>
      <c r="AG22" s="20">
        <f>$A$20*$AG$17</f>
        <v>1920</v>
      </c>
      <c r="AH22" s="25">
        <f>AC22+AD22+AE22+AF22+AG22</f>
        <v>33546.679999999993</v>
      </c>
      <c r="AI22" s="20"/>
      <c r="AJ22" s="17"/>
      <c r="AK22" s="7">
        <f>AH22-X22</f>
        <v>675.09999999999127</v>
      </c>
      <c r="AM22" s="18">
        <f>AH22/X22-1</f>
        <v>2.0537497741209609E-2</v>
      </c>
    </row>
    <row r="23" spans="1:39" x14ac:dyDescent="0.2">
      <c r="C23" s="13"/>
      <c r="E23" s="1"/>
      <c r="F23" s="1"/>
      <c r="G23" s="29"/>
      <c r="H23" s="29"/>
      <c r="J23" s="5"/>
      <c r="K23" s="1"/>
      <c r="L23" s="1"/>
      <c r="M23" s="1"/>
      <c r="P23" s="54"/>
      <c r="Q23" s="1"/>
      <c r="S23" s="7"/>
      <c r="T23" s="20"/>
      <c r="U23" s="20"/>
      <c r="V23" s="20"/>
      <c r="W23" s="20"/>
      <c r="X23" s="25"/>
      <c r="Y23" s="25"/>
      <c r="AC23" s="7"/>
      <c r="AD23" s="20"/>
      <c r="AE23" s="20"/>
      <c r="AF23" s="20"/>
      <c r="AG23" s="20"/>
      <c r="AH23" s="25"/>
      <c r="AJ23" s="17"/>
      <c r="AK23" s="6"/>
      <c r="AM23" s="6"/>
    </row>
    <row r="24" spans="1:39" x14ac:dyDescent="0.2">
      <c r="A24" s="1">
        <v>10000</v>
      </c>
      <c r="B24" s="1"/>
      <c r="C24" s="13">
        <v>0.3</v>
      </c>
      <c r="E24" s="1">
        <f>C24*($A$24*730)</f>
        <v>2190000</v>
      </c>
      <c r="F24" s="1"/>
      <c r="G24" s="29">
        <f t="shared" si="0"/>
        <v>216578.2</v>
      </c>
      <c r="H24" s="29">
        <f>+AH24</f>
        <v>229928.76</v>
      </c>
      <c r="I24" s="29">
        <f>+H24-G24</f>
        <v>13350.559999999998</v>
      </c>
      <c r="J24" s="54">
        <f>ROUND(+I24/G24,4)</f>
        <v>6.1600000000000002E-2</v>
      </c>
      <c r="K24" s="29">
        <f>ROUND($T$10*$E24,2)</f>
        <v>-1271.28</v>
      </c>
      <c r="L24" s="29">
        <f>ROUND($T$11*$E24,2)</f>
        <v>0</v>
      </c>
      <c r="M24" s="29">
        <f>ROUND($T$12*$E24,2)</f>
        <v>5016.08</v>
      </c>
      <c r="N24" s="29">
        <f>+G24+K24+L24+M24</f>
        <v>220323</v>
      </c>
      <c r="O24" s="29">
        <f>+H24+K24+L24+M24</f>
        <v>233673.56</v>
      </c>
      <c r="P24" s="54">
        <f>(O24-N24)/N24</f>
        <v>6.0595398573911927E-2</v>
      </c>
      <c r="Q24" s="1"/>
      <c r="S24" s="7">
        <f>$S$20</f>
        <v>1500</v>
      </c>
      <c r="T24" s="20">
        <f>$T$17*E24</f>
        <v>73978.2</v>
      </c>
      <c r="U24" s="20">
        <f>$U$17*$A$24</f>
        <v>70000</v>
      </c>
      <c r="V24" s="20">
        <f>$V$17*$A$24</f>
        <v>52500</v>
      </c>
      <c r="W24" s="20">
        <f>$W$17*$A$24</f>
        <v>18600</v>
      </c>
      <c r="X24" s="25">
        <f>S24+T24+U24+V24+W24</f>
        <v>216578.2</v>
      </c>
      <c r="Y24" s="25"/>
      <c r="Z24" s="20"/>
      <c r="AC24" s="7">
        <f>$AC$20</f>
        <v>1499.96</v>
      </c>
      <c r="AD24" s="20">
        <f>$AD$17*E24</f>
        <v>69028.800000000003</v>
      </c>
      <c r="AE24" s="20">
        <f>$A$24*$AE$17</f>
        <v>80100</v>
      </c>
      <c r="AF24" s="20">
        <f>$A$24*$AF$17</f>
        <v>60100</v>
      </c>
      <c r="AG24" s="20">
        <f>$A$24*$AG$17</f>
        <v>19200</v>
      </c>
      <c r="AH24" s="25">
        <f>AC24+AD24+AE24+AF24+AG24</f>
        <v>229928.76</v>
      </c>
      <c r="AI24" s="20"/>
      <c r="AJ24" s="17"/>
      <c r="AK24" s="7">
        <f>AH24-X24</f>
        <v>13350.559999999998</v>
      </c>
      <c r="AL24" s="10"/>
      <c r="AM24" s="18">
        <f>AH24/X24-1</f>
        <v>6.1643138598436842E-2</v>
      </c>
    </row>
    <row r="25" spans="1:39" x14ac:dyDescent="0.2">
      <c r="C25" s="13">
        <v>0.5</v>
      </c>
      <c r="E25" s="1">
        <f>C25*($A$24*730)</f>
        <v>3650000</v>
      </c>
      <c r="F25" s="1"/>
      <c r="G25" s="29">
        <f t="shared" si="0"/>
        <v>265897</v>
      </c>
      <c r="H25" s="29">
        <f>+AH25</f>
        <v>275947.96000000002</v>
      </c>
      <c r="I25" s="29">
        <f>+H25-G25</f>
        <v>10050.960000000021</v>
      </c>
      <c r="J25" s="54">
        <f>ROUND(+I25/G25,4)</f>
        <v>3.78E-2</v>
      </c>
      <c r="K25" s="29">
        <f>ROUND($T$10*$E25,2)</f>
        <v>-2118.8000000000002</v>
      </c>
      <c r="L25" s="29">
        <f>ROUND($T$11*$E25,2)</f>
        <v>0</v>
      </c>
      <c r="M25" s="29">
        <f>ROUND($T$12*$E25,2)</f>
        <v>8360.1299999999992</v>
      </c>
      <c r="N25" s="29">
        <f>+G25+K25+L25+M25</f>
        <v>272138.33</v>
      </c>
      <c r="O25" s="29">
        <f>+H25+K25+L25+M25</f>
        <v>282189.29000000004</v>
      </c>
      <c r="P25" s="54">
        <f>(O25-N25)/N25</f>
        <v>3.693327580866694E-2</v>
      </c>
      <c r="Q25" s="1"/>
      <c r="S25" s="7">
        <f>$S$20</f>
        <v>1500</v>
      </c>
      <c r="T25" s="20">
        <f>$T$17*E25</f>
        <v>123296.99999999999</v>
      </c>
      <c r="U25" s="20">
        <f>$U$17*$A$24</f>
        <v>70000</v>
      </c>
      <c r="V25" s="20">
        <f>$V$17*$A$24</f>
        <v>52500</v>
      </c>
      <c r="W25" s="20">
        <f>$W$17*$A$24</f>
        <v>18600</v>
      </c>
      <c r="X25" s="25">
        <f>S25+T25+U25+V25+W25</f>
        <v>265897</v>
      </c>
      <c r="Y25" s="25"/>
      <c r="Z25" s="20"/>
      <c r="AC25" s="7">
        <f>$AC$20</f>
        <v>1499.96</v>
      </c>
      <c r="AD25" s="20">
        <f>$AD$17*E25</f>
        <v>115048</v>
      </c>
      <c r="AE25" s="20">
        <f>$A$24*$AE$17</f>
        <v>80100</v>
      </c>
      <c r="AF25" s="20">
        <f>$A$24*$AF$17</f>
        <v>60100</v>
      </c>
      <c r="AG25" s="20">
        <f>$A$24*$AG$17</f>
        <v>19200</v>
      </c>
      <c r="AH25" s="25">
        <f>AC25+AD25+AE25+AF25+AG25</f>
        <v>275947.96000000002</v>
      </c>
      <c r="AI25" s="20"/>
      <c r="AJ25" s="17"/>
      <c r="AK25" s="7">
        <f>AH25-X25</f>
        <v>10050.960000000021</v>
      </c>
      <c r="AL25" s="10"/>
      <c r="AM25" s="18">
        <f>AH25/X25-1</f>
        <v>3.7800200829644748E-2</v>
      </c>
    </row>
    <row r="26" spans="1:39" x14ac:dyDescent="0.2">
      <c r="C26" s="13">
        <v>0.7</v>
      </c>
      <c r="E26" s="1">
        <f>C26*($A$24*730)</f>
        <v>5110000</v>
      </c>
      <c r="F26" s="1"/>
      <c r="G26" s="29">
        <f t="shared" si="0"/>
        <v>315215.8</v>
      </c>
      <c r="H26" s="29">
        <f>+AH26</f>
        <v>321967.15999999997</v>
      </c>
      <c r="I26" s="29">
        <f>+H26-G26</f>
        <v>6751.359999999986</v>
      </c>
      <c r="J26" s="54">
        <f>ROUND(+I26/G26,4)</f>
        <v>2.1399999999999999E-2</v>
      </c>
      <c r="K26" s="29">
        <f>ROUND($T$10*$E26,2)</f>
        <v>-2966.33</v>
      </c>
      <c r="L26" s="29">
        <f>ROUND($T$11*$E26,2)</f>
        <v>0</v>
      </c>
      <c r="M26" s="29">
        <f>ROUND($T$12*$E26,2)</f>
        <v>11704.18</v>
      </c>
      <c r="N26" s="29">
        <f>+G26+K26+L26+M26</f>
        <v>323953.64999999997</v>
      </c>
      <c r="O26" s="29">
        <f>+H26+K26+L26+M26</f>
        <v>330705.00999999995</v>
      </c>
      <c r="P26" s="54">
        <f>(O26-N26)/N26</f>
        <v>2.0840512215250503E-2</v>
      </c>
      <c r="Q26" s="1"/>
      <c r="S26" s="7">
        <f>$S$20</f>
        <v>1500</v>
      </c>
      <c r="T26" s="20">
        <f>$T$17*E26</f>
        <v>172615.8</v>
      </c>
      <c r="U26" s="20">
        <f>$U$17*$A$24</f>
        <v>70000</v>
      </c>
      <c r="V26" s="20">
        <f>$V$17*$A$24</f>
        <v>52500</v>
      </c>
      <c r="W26" s="20">
        <f>$W$17*$A$24</f>
        <v>18600</v>
      </c>
      <c r="X26" s="25">
        <f>S26+T26+U26+V26+W26</f>
        <v>315215.8</v>
      </c>
      <c r="Y26" s="25"/>
      <c r="Z26" s="20"/>
      <c r="AC26" s="7">
        <f>$AC$20</f>
        <v>1499.96</v>
      </c>
      <c r="AD26" s="20">
        <f>$AD$17*E26</f>
        <v>161067.19999999998</v>
      </c>
      <c r="AE26" s="20">
        <f>$A$24*$AE$17</f>
        <v>80100</v>
      </c>
      <c r="AF26" s="20">
        <f>$A$24*$AF$17</f>
        <v>60100</v>
      </c>
      <c r="AG26" s="20">
        <f>$A$24*$AG$17</f>
        <v>19200</v>
      </c>
      <c r="AH26" s="25">
        <f>AC26+AD26+AE26+AF26+AG26</f>
        <v>321967.15999999997</v>
      </c>
      <c r="AI26" s="20"/>
      <c r="AJ26" s="17"/>
      <c r="AK26" s="7">
        <f>AH26-X26</f>
        <v>6751.359999999986</v>
      </c>
      <c r="AM26" s="18">
        <f>AH26/X26-1</f>
        <v>2.141821571126834E-2</v>
      </c>
    </row>
    <row r="27" spans="1:39" x14ac:dyDescent="0.2">
      <c r="C27" s="13"/>
      <c r="E27" s="1"/>
      <c r="F27" s="1"/>
      <c r="G27" s="29"/>
      <c r="H27" s="29"/>
      <c r="J27" s="5"/>
      <c r="K27" s="1"/>
      <c r="L27" s="1"/>
      <c r="M27" s="1"/>
      <c r="P27" s="54"/>
      <c r="Q27" s="1"/>
      <c r="S27" s="7"/>
      <c r="T27" s="20"/>
      <c r="U27" s="20"/>
      <c r="V27" s="20"/>
      <c r="W27" s="20"/>
      <c r="X27" s="25"/>
      <c r="Y27" s="25"/>
      <c r="AC27" s="7"/>
      <c r="AD27" s="20"/>
      <c r="AE27" s="20"/>
      <c r="AF27" s="20"/>
      <c r="AG27" s="20"/>
      <c r="AH27" s="25"/>
      <c r="AJ27" s="17"/>
      <c r="AK27" s="6"/>
      <c r="AM27" s="6"/>
    </row>
    <row r="28" spans="1:39" x14ac:dyDescent="0.2">
      <c r="A28" s="1">
        <v>25000</v>
      </c>
      <c r="B28" s="1"/>
      <c r="C28" s="13">
        <v>0.3</v>
      </c>
      <c r="E28" s="1">
        <f>C28*($A$28*730)</f>
        <v>5475000</v>
      </c>
      <c r="F28" s="1"/>
      <c r="G28" s="29">
        <f t="shared" si="0"/>
        <v>539195.5</v>
      </c>
      <c r="H28" s="29">
        <f>+AH28</f>
        <v>572571.96</v>
      </c>
      <c r="I28" s="29">
        <f>+H28-G28</f>
        <v>33376.459999999963</v>
      </c>
      <c r="J28" s="54">
        <f>ROUND(+I28/G28,4)</f>
        <v>6.1899999999999997E-2</v>
      </c>
      <c r="K28" s="29">
        <f>ROUND($T$10*$E28,2)</f>
        <v>-3178.21</v>
      </c>
      <c r="L28" s="29">
        <f>ROUND($T$11*$E28,2)</f>
        <v>0</v>
      </c>
      <c r="M28" s="29">
        <f>ROUND($T$12*$E28,2)</f>
        <v>12540.19</v>
      </c>
      <c r="N28" s="29">
        <f>+G28+K28+L28+M28</f>
        <v>548557.48</v>
      </c>
      <c r="O28" s="29">
        <f>+H28+K28+L28+M28</f>
        <v>581933.93999999994</v>
      </c>
      <c r="P28" s="54">
        <f>(O28-N28)/N28</f>
        <v>6.0844052295121312E-2</v>
      </c>
      <c r="Q28" s="1"/>
      <c r="S28" s="7">
        <f>$S$20</f>
        <v>1500</v>
      </c>
      <c r="T28" s="20">
        <f>$T$17*E28</f>
        <v>184945.5</v>
      </c>
      <c r="U28" s="20">
        <f>$U$17*$A$28</f>
        <v>175000</v>
      </c>
      <c r="V28" s="20">
        <f>$V$17*$A$28</f>
        <v>131250</v>
      </c>
      <c r="W28" s="20">
        <f>$W$17*$A$28</f>
        <v>46500</v>
      </c>
      <c r="X28" s="25">
        <f>S28+T28+U28+V28+W28</f>
        <v>539195.5</v>
      </c>
      <c r="Y28" s="25"/>
      <c r="Z28" s="20"/>
      <c r="AC28" s="7">
        <f>$AC$20</f>
        <v>1499.96</v>
      </c>
      <c r="AD28" s="20">
        <f>$AD$17*E28</f>
        <v>172572</v>
      </c>
      <c r="AE28" s="20">
        <f>$A$28*$AE$17</f>
        <v>200250</v>
      </c>
      <c r="AF28" s="20">
        <f>$A$28*$AF$17</f>
        <v>150250</v>
      </c>
      <c r="AG28" s="20">
        <f>$A$28*$AG$17</f>
        <v>48000</v>
      </c>
      <c r="AH28" s="25">
        <f>AC28+AD28+AE28+AF28+AG28</f>
        <v>572571.96</v>
      </c>
      <c r="AI28" s="20"/>
      <c r="AJ28" s="17"/>
      <c r="AK28" s="7">
        <f>AH28-X28</f>
        <v>33376.459999999963</v>
      </c>
      <c r="AM28" s="18">
        <f>AH28/X28-1</f>
        <v>6.1900479510678341E-2</v>
      </c>
    </row>
    <row r="29" spans="1:39" x14ac:dyDescent="0.2">
      <c r="C29" s="13">
        <v>0.5</v>
      </c>
      <c r="E29" s="1">
        <f>C29*($A$28*730)</f>
        <v>9125000</v>
      </c>
      <c r="F29" s="1"/>
      <c r="G29" s="29">
        <f t="shared" si="0"/>
        <v>662492.5</v>
      </c>
      <c r="H29" s="29">
        <f>+AH29</f>
        <v>687619.96</v>
      </c>
      <c r="I29" s="29">
        <f>+H29-G29</f>
        <v>25127.459999999963</v>
      </c>
      <c r="J29" s="54">
        <f>ROUND(+I29/G29,4)</f>
        <v>3.7900000000000003E-2</v>
      </c>
      <c r="K29" s="29">
        <f>ROUND($T$10*$E29,2)</f>
        <v>-5297.01</v>
      </c>
      <c r="L29" s="29">
        <f>ROUND($T$11*$E29,2)</f>
        <v>0</v>
      </c>
      <c r="M29" s="29">
        <f>ROUND($T$12*$E29,2)</f>
        <v>20900.32</v>
      </c>
      <c r="N29" s="29">
        <f>+G29+K29+L29+M29</f>
        <v>678095.80999999994</v>
      </c>
      <c r="O29" s="29">
        <f>+H29+K29+L29+M29</f>
        <v>703223.2699999999</v>
      </c>
      <c r="P29" s="54">
        <f>(O29-N29)/N29</f>
        <v>3.7055913971802842E-2</v>
      </c>
      <c r="Q29" s="1"/>
      <c r="S29" s="7">
        <f>$S$20</f>
        <v>1500</v>
      </c>
      <c r="T29" s="20">
        <f>$T$17*E29</f>
        <v>308242.5</v>
      </c>
      <c r="U29" s="20">
        <f>$U$17*$A$28</f>
        <v>175000</v>
      </c>
      <c r="V29" s="20">
        <f>$V$17*$A$28</f>
        <v>131250</v>
      </c>
      <c r="W29" s="20">
        <f>$W$17*$A$28</f>
        <v>46500</v>
      </c>
      <c r="X29" s="25">
        <f>S29+T29+U29+V29+W29</f>
        <v>662492.5</v>
      </c>
      <c r="Y29" s="25"/>
      <c r="Z29" s="20"/>
      <c r="AC29" s="7">
        <f>$AC$20</f>
        <v>1499.96</v>
      </c>
      <c r="AD29" s="20">
        <f>$AD$17*E29</f>
        <v>287620</v>
      </c>
      <c r="AE29" s="20">
        <f>$A$28*$AE$17</f>
        <v>200250</v>
      </c>
      <c r="AF29" s="20">
        <f>$A$28*$AF$17</f>
        <v>150250</v>
      </c>
      <c r="AG29" s="20">
        <f>$A$28*$AG$17</f>
        <v>48000</v>
      </c>
      <c r="AH29" s="25">
        <f>AC29+AD29+AE29+AF29+AG29</f>
        <v>687619.96</v>
      </c>
      <c r="AI29" s="20"/>
      <c r="AJ29" s="17"/>
      <c r="AK29" s="7">
        <f>AH29-X29</f>
        <v>25127.459999999963</v>
      </c>
      <c r="AM29" s="18">
        <f>AH29/X29-1</f>
        <v>3.7928670890613692E-2</v>
      </c>
    </row>
    <row r="30" spans="1:39" x14ac:dyDescent="0.2">
      <c r="C30" s="13">
        <v>0.7</v>
      </c>
      <c r="E30" s="1">
        <f>C30*($A$28*730)</f>
        <v>12775000</v>
      </c>
      <c r="F30" s="1"/>
      <c r="G30" s="29">
        <f t="shared" si="0"/>
        <v>785789.5</v>
      </c>
      <c r="H30" s="29">
        <f>+AH30</f>
        <v>802667.96</v>
      </c>
      <c r="I30" s="29">
        <f>+H30-G30</f>
        <v>16878.459999999963</v>
      </c>
      <c r="J30" s="54">
        <f>ROUND(+I30/G30,4)</f>
        <v>2.1499999999999998E-2</v>
      </c>
      <c r="K30" s="29">
        <f>ROUND($T$10*$E30,2)</f>
        <v>-7415.81</v>
      </c>
      <c r="L30" s="29">
        <f>ROUND($T$11*$E30,2)</f>
        <v>0</v>
      </c>
      <c r="M30" s="29">
        <f>ROUND($T$12*$E30,2)</f>
        <v>29260.45</v>
      </c>
      <c r="N30" s="29">
        <f>+G30+K30+L30+M30</f>
        <v>807634.1399999999</v>
      </c>
      <c r="O30" s="29">
        <f>+H30+K30+L30+M30</f>
        <v>824512.59999999986</v>
      </c>
      <c r="P30" s="54">
        <f>(O30-N30)/N30</f>
        <v>2.0898646013156358E-2</v>
      </c>
      <c r="Q30" s="1"/>
      <c r="S30" s="7">
        <f>$S$20</f>
        <v>1500</v>
      </c>
      <c r="T30" s="20">
        <f>$T$17*E30</f>
        <v>431539.49999999994</v>
      </c>
      <c r="U30" s="20">
        <f>$U$17*$A$28</f>
        <v>175000</v>
      </c>
      <c r="V30" s="20">
        <f>$V$17*$A$28</f>
        <v>131250</v>
      </c>
      <c r="W30" s="20">
        <f>$W$17*$A$28</f>
        <v>46500</v>
      </c>
      <c r="X30" s="25">
        <f>S30+T30+U30+V30+W30</f>
        <v>785789.5</v>
      </c>
      <c r="Y30" s="25"/>
      <c r="Z30" s="20"/>
      <c r="AC30" s="7">
        <f>$AC$20</f>
        <v>1499.96</v>
      </c>
      <c r="AD30" s="20">
        <f>$AD$17*E30</f>
        <v>402668</v>
      </c>
      <c r="AE30" s="20">
        <f>$A$28*$AE$17</f>
        <v>200250</v>
      </c>
      <c r="AF30" s="20">
        <f>$A$28*$AF$17</f>
        <v>150250</v>
      </c>
      <c r="AG30" s="20">
        <f>$A$28*$AG$17</f>
        <v>48000</v>
      </c>
      <c r="AH30" s="25">
        <f>AC30+AD30+AE30+AF30+AG30</f>
        <v>802667.96</v>
      </c>
      <c r="AI30" s="20"/>
      <c r="AJ30" s="17"/>
      <c r="AK30" s="7">
        <f>AH30-X30</f>
        <v>16878.459999999963</v>
      </c>
      <c r="AM30" s="18">
        <f>AH30/X30-1</f>
        <v>2.1479620178177505E-2</v>
      </c>
    </row>
    <row r="31" spans="1:39" x14ac:dyDescent="0.2">
      <c r="C31" s="13"/>
      <c r="E31" s="1"/>
      <c r="F31" s="1"/>
      <c r="G31" s="29"/>
      <c r="H31" s="29"/>
      <c r="J31" s="5"/>
      <c r="K31" s="1"/>
      <c r="L31" s="1"/>
      <c r="M31" s="1"/>
      <c r="P31" s="54"/>
      <c r="Q31" s="1"/>
      <c r="S31" s="7"/>
      <c r="T31" s="20"/>
      <c r="U31" s="20"/>
      <c r="V31" s="20"/>
      <c r="W31" s="20"/>
      <c r="X31" s="25"/>
      <c r="Y31" s="25"/>
      <c r="AC31" s="7"/>
      <c r="AD31" s="20"/>
      <c r="AE31" s="20"/>
      <c r="AF31" s="20"/>
      <c r="AG31" s="20"/>
      <c r="AH31" s="25"/>
      <c r="AJ31" s="17"/>
      <c r="AK31" s="6"/>
      <c r="AM31" s="6"/>
    </row>
    <row r="32" spans="1:39" x14ac:dyDescent="0.2">
      <c r="A32" s="1">
        <v>50000</v>
      </c>
      <c r="B32" s="1"/>
      <c r="C32" s="13">
        <v>0.3</v>
      </c>
      <c r="E32" s="1">
        <f>C32*($A$32*730)</f>
        <v>10950000</v>
      </c>
      <c r="F32" s="1"/>
      <c r="G32" s="29">
        <f t="shared" si="0"/>
        <v>1076891</v>
      </c>
      <c r="H32" s="29">
        <f>+AH32</f>
        <v>1143643.96</v>
      </c>
      <c r="I32" s="29">
        <f>+H32-G32</f>
        <v>66752.959999999963</v>
      </c>
      <c r="J32" s="54">
        <f>ROUND(+I32/G32,4)</f>
        <v>6.2E-2</v>
      </c>
      <c r="K32" s="29">
        <f>ROUND($T$10*$E32,2)</f>
        <v>-6356.41</v>
      </c>
      <c r="L32" s="29">
        <f>ROUND($T$11*$E32,2)</f>
        <v>0</v>
      </c>
      <c r="M32" s="29">
        <f>ROUND($T$12*$E32,2)</f>
        <v>25080.38</v>
      </c>
      <c r="N32" s="29">
        <f>+G32+K32+L32+M32</f>
        <v>1095614.97</v>
      </c>
      <c r="O32" s="29">
        <f>+H32+K32+L32+M32</f>
        <v>1162367.93</v>
      </c>
      <c r="P32" s="54">
        <f>(O32-N32)/N32</f>
        <v>6.0927389482456566E-2</v>
      </c>
      <c r="Q32" s="1"/>
      <c r="S32" s="7">
        <f>$S$20</f>
        <v>1500</v>
      </c>
      <c r="T32" s="20">
        <f>$T$17*E32</f>
        <v>369891</v>
      </c>
      <c r="U32" s="20">
        <f>$U$17*$A$32</f>
        <v>350000</v>
      </c>
      <c r="V32" s="20">
        <f>$V$17*$A$32</f>
        <v>262500</v>
      </c>
      <c r="W32" s="20">
        <f>$W$17*$A$32</f>
        <v>93000</v>
      </c>
      <c r="X32" s="25">
        <f>S32+T32+U32+V32+W32</f>
        <v>1076891</v>
      </c>
      <c r="Y32" s="25"/>
      <c r="Z32" s="20"/>
      <c r="AC32" s="7">
        <f>$AC$20</f>
        <v>1499.96</v>
      </c>
      <c r="AD32" s="20">
        <f>$AD$17*E32</f>
        <v>345144</v>
      </c>
      <c r="AE32" s="20">
        <f>$A$32*$AE$17</f>
        <v>400500</v>
      </c>
      <c r="AF32" s="20">
        <f>$A$32*$AF$17</f>
        <v>300500</v>
      </c>
      <c r="AG32" s="20">
        <f>$A$32*$AG$17</f>
        <v>96000</v>
      </c>
      <c r="AH32" s="25">
        <f>AC32+AD32+AE32+AF32+AG32</f>
        <v>1143643.96</v>
      </c>
      <c r="AI32" s="20"/>
      <c r="AJ32" s="17"/>
      <c r="AK32" s="7">
        <f>AH32-X32</f>
        <v>66752.959999999963</v>
      </c>
      <c r="AM32" s="18">
        <f>AH32/X32-1</f>
        <v>6.1986737747831366E-2</v>
      </c>
    </row>
    <row r="33" spans="1:39" x14ac:dyDescent="0.2">
      <c r="C33" s="13">
        <v>0.5</v>
      </c>
      <c r="E33" s="1">
        <f>C33*($A$32*730)</f>
        <v>18250000</v>
      </c>
      <c r="F33" s="1"/>
      <c r="G33" s="29">
        <f t="shared" si="0"/>
        <v>1323485</v>
      </c>
      <c r="H33" s="29">
        <f>+AH33</f>
        <v>1373739.96</v>
      </c>
      <c r="I33" s="29">
        <f>+H33-G33</f>
        <v>50254.959999999963</v>
      </c>
      <c r="J33" s="54">
        <f>ROUND(+I33/G33,4)</f>
        <v>3.7999999999999999E-2</v>
      </c>
      <c r="K33" s="29">
        <f>ROUND($T$10*$E33,2)</f>
        <v>-10594.02</v>
      </c>
      <c r="L33" s="29">
        <f>ROUND($T$11*$E33,2)</f>
        <v>0</v>
      </c>
      <c r="M33" s="29">
        <f>ROUND($T$12*$E33,2)</f>
        <v>41800.639999999999</v>
      </c>
      <c r="N33" s="29">
        <f>+G33+K33+L33+M33</f>
        <v>1354691.6199999999</v>
      </c>
      <c r="O33" s="29">
        <f>+H33+K33+L33+M33</f>
        <v>1404946.5799999998</v>
      </c>
      <c r="P33" s="54">
        <f>(O33-N33)/N33</f>
        <v>3.7096974143827628E-2</v>
      </c>
      <c r="Q33" s="1"/>
      <c r="S33" s="7">
        <f>$S$20</f>
        <v>1500</v>
      </c>
      <c r="T33" s="20">
        <f>$T$17*E33</f>
        <v>616485</v>
      </c>
      <c r="U33" s="20">
        <f>$U$17*$A$32</f>
        <v>350000</v>
      </c>
      <c r="V33" s="20">
        <f>$V$17*$A$32</f>
        <v>262500</v>
      </c>
      <c r="W33" s="20">
        <f>$W$17*$A$32</f>
        <v>93000</v>
      </c>
      <c r="X33" s="25">
        <f>S33+T33+U33+V33+W33</f>
        <v>1323485</v>
      </c>
      <c r="Y33" s="25"/>
      <c r="Z33" s="20"/>
      <c r="AC33" s="7">
        <f>$AC$20</f>
        <v>1499.96</v>
      </c>
      <c r="AD33" s="20">
        <f>$AD$17*E33</f>
        <v>575240</v>
      </c>
      <c r="AE33" s="20">
        <f>$A$32*$AE$17</f>
        <v>400500</v>
      </c>
      <c r="AF33" s="20">
        <f>$A$32*$AF$17</f>
        <v>300500</v>
      </c>
      <c r="AG33" s="20">
        <f>$A$32*$AG$17</f>
        <v>96000</v>
      </c>
      <c r="AH33" s="25">
        <f>AC33+AD33+AE33+AF33+AG33</f>
        <v>1373739.96</v>
      </c>
      <c r="AI33" s="20"/>
      <c r="AJ33" s="17"/>
      <c r="AK33" s="7">
        <f>AH33-X33</f>
        <v>50254.959999999963</v>
      </c>
      <c r="AM33" s="18">
        <f>AH33/X33-1</f>
        <v>3.7971688383321212E-2</v>
      </c>
    </row>
    <row r="34" spans="1:39" x14ac:dyDescent="0.2">
      <c r="C34" s="13">
        <v>0.7</v>
      </c>
      <c r="E34" s="1">
        <f>C34*($A$32*730)</f>
        <v>25550000</v>
      </c>
      <c r="F34" s="1"/>
      <c r="G34" s="29">
        <f t="shared" si="0"/>
        <v>1570079</v>
      </c>
      <c r="H34" s="29">
        <f>+AH34</f>
        <v>1603835.96</v>
      </c>
      <c r="I34" s="29">
        <f>+H34-G34</f>
        <v>33756.959999999963</v>
      </c>
      <c r="J34" s="54">
        <f>ROUND(+I34/G34,4)</f>
        <v>2.1499999999999998E-2</v>
      </c>
      <c r="K34" s="29">
        <f>ROUND($T$10*$E34,2)</f>
        <v>-14831.63</v>
      </c>
      <c r="L34" s="29">
        <f>ROUND($T$11*$E34,2)</f>
        <v>0</v>
      </c>
      <c r="M34" s="29">
        <f>ROUND($T$12*$E34,2)</f>
        <v>58520.9</v>
      </c>
      <c r="N34" s="29">
        <f>+G34+K34+L34+M34</f>
        <v>1613768.27</v>
      </c>
      <c r="O34" s="29">
        <f>+H34+K34+L34+M34</f>
        <v>1647525.23</v>
      </c>
      <c r="P34" s="54">
        <f>(O34-N34)/N34</f>
        <v>2.0918096251824288E-2</v>
      </c>
      <c r="Q34" s="1"/>
      <c r="S34" s="7">
        <f>$S$20</f>
        <v>1500</v>
      </c>
      <c r="T34" s="20">
        <f>$T$17*E34</f>
        <v>863078.99999999988</v>
      </c>
      <c r="U34" s="20">
        <f>$U$17*$A$32</f>
        <v>350000</v>
      </c>
      <c r="V34" s="20">
        <f>$V$17*$A$32</f>
        <v>262500</v>
      </c>
      <c r="W34" s="20">
        <f>$W$17*$A$32</f>
        <v>93000</v>
      </c>
      <c r="X34" s="25">
        <f>S34+T34+U34+V34+W34</f>
        <v>1570079</v>
      </c>
      <c r="Y34" s="25"/>
      <c r="Z34" s="20"/>
      <c r="AC34" s="7">
        <f>$AC$20</f>
        <v>1499.96</v>
      </c>
      <c r="AD34" s="20">
        <f>$AD$17*E34</f>
        <v>805336</v>
      </c>
      <c r="AE34" s="20">
        <f>$A$32*$AE$17</f>
        <v>400500</v>
      </c>
      <c r="AF34" s="20">
        <f>$A$32*$AF$17</f>
        <v>300500</v>
      </c>
      <c r="AG34" s="20">
        <f>$A$32*$AG$17</f>
        <v>96000</v>
      </c>
      <c r="AH34" s="25">
        <f>AC34+AD34+AE34+AF34+AG34</f>
        <v>1603835.96</v>
      </c>
      <c r="AI34" s="20"/>
      <c r="AJ34" s="17"/>
      <c r="AK34" s="7">
        <f>AH34-X34</f>
        <v>33756.959999999963</v>
      </c>
      <c r="AM34" s="18">
        <f>AH34/X34-1</f>
        <v>2.150016655212883E-2</v>
      </c>
    </row>
    <row r="35" spans="1:39" x14ac:dyDescent="0.2">
      <c r="C35" s="13"/>
      <c r="E35" s="1"/>
      <c r="F35" s="1"/>
      <c r="G35" s="29"/>
      <c r="H35" s="29"/>
      <c r="J35" s="5"/>
      <c r="K35" s="1"/>
      <c r="L35" s="1"/>
      <c r="M35" s="1"/>
      <c r="P35" s="54"/>
      <c r="Q35" s="1"/>
      <c r="S35" s="7"/>
      <c r="T35" s="20"/>
      <c r="U35" s="20"/>
      <c r="V35" s="20"/>
      <c r="W35" s="20"/>
      <c r="X35" s="25"/>
      <c r="Y35" s="25"/>
      <c r="AC35" s="7"/>
      <c r="AD35" s="20"/>
      <c r="AE35" s="20"/>
      <c r="AF35" s="20"/>
      <c r="AG35" s="20"/>
      <c r="AH35" s="25"/>
      <c r="AJ35" s="17"/>
      <c r="AK35" s="6"/>
      <c r="AM35" s="6"/>
    </row>
    <row r="36" spans="1:39" x14ac:dyDescent="0.2">
      <c r="A36" s="1">
        <v>75000</v>
      </c>
      <c r="B36" s="1"/>
      <c r="C36" s="13">
        <v>0.3</v>
      </c>
      <c r="E36" s="1">
        <f>C36*($A$36*730)</f>
        <v>16425000</v>
      </c>
      <c r="F36" s="1"/>
      <c r="G36" s="29">
        <f t="shared" si="0"/>
        <v>1614586.5</v>
      </c>
      <c r="H36" s="29">
        <f>+AH36</f>
        <v>1714715.96</v>
      </c>
      <c r="I36" s="29">
        <f>+H36-G36</f>
        <v>100129.45999999996</v>
      </c>
      <c r="J36" s="54">
        <f>ROUND(+I36/G36,4)</f>
        <v>6.2E-2</v>
      </c>
      <c r="K36" s="29">
        <f>ROUND($T$10*$E36,2)</f>
        <v>-9534.6200000000008</v>
      </c>
      <c r="L36" s="29">
        <f>ROUND($T$11*$E36,2)</f>
        <v>0</v>
      </c>
      <c r="M36" s="29">
        <f>ROUND($T$12*$E36,2)</f>
        <v>37620.58</v>
      </c>
      <c r="N36" s="29">
        <f>+G36+K36+L36+M36</f>
        <v>1642672.46</v>
      </c>
      <c r="O36" s="29">
        <f>+H36+K36+L36+M36</f>
        <v>1742801.9199999999</v>
      </c>
      <c r="P36" s="54">
        <f>(O36-N36)/N36</f>
        <v>6.0955219277250172E-2</v>
      </c>
      <c r="Q36" s="1"/>
      <c r="S36" s="7">
        <f>$S$20</f>
        <v>1500</v>
      </c>
      <c r="T36" s="20">
        <f>$T$17*E36</f>
        <v>554836.5</v>
      </c>
      <c r="U36" s="20">
        <f>$U$17*$A$36</f>
        <v>525000</v>
      </c>
      <c r="V36" s="20">
        <f>$V$17*$A$36</f>
        <v>393750</v>
      </c>
      <c r="W36" s="20">
        <f>$W$17*$A$36</f>
        <v>139500</v>
      </c>
      <c r="X36" s="25">
        <f>S36+T36+U36+V36+W36</f>
        <v>1614586.5</v>
      </c>
      <c r="Y36" s="25"/>
      <c r="Z36" s="20"/>
      <c r="AC36" s="7">
        <f>$AC$20</f>
        <v>1499.96</v>
      </c>
      <c r="AD36" s="20">
        <f>$AD$17*E36</f>
        <v>517716</v>
      </c>
      <c r="AE36" s="20">
        <f>$A$36*$AE$17</f>
        <v>600750</v>
      </c>
      <c r="AF36" s="20">
        <f>$A$36*$AF$17</f>
        <v>450750</v>
      </c>
      <c r="AG36" s="20">
        <f>$A$36*$AG$17</f>
        <v>144000</v>
      </c>
      <c r="AH36" s="25">
        <f>AC36+AD36+AE36+AF36+AG36</f>
        <v>1714715.96</v>
      </c>
      <c r="AI36" s="20"/>
      <c r="AJ36" s="17"/>
      <c r="AK36" s="7">
        <f>AH36-X36</f>
        <v>100129.45999999996</v>
      </c>
      <c r="AM36" s="18">
        <f>AH36/X36-1</f>
        <v>6.2015543917900873E-2</v>
      </c>
    </row>
    <row r="37" spans="1:39" x14ac:dyDescent="0.2">
      <c r="C37" s="13">
        <v>0.5</v>
      </c>
      <c r="E37" s="1">
        <f>C37*($A$36*730)</f>
        <v>27375000</v>
      </c>
      <c r="F37" s="1"/>
      <c r="G37" s="29">
        <f t="shared" si="0"/>
        <v>1984477.5</v>
      </c>
      <c r="H37" s="29">
        <f>+AH37</f>
        <v>2059859.96</v>
      </c>
      <c r="I37" s="29">
        <f>+H37-G37</f>
        <v>75382.459999999963</v>
      </c>
      <c r="J37" s="54">
        <f>ROUND(+I37/G37,4)</f>
        <v>3.7999999999999999E-2</v>
      </c>
      <c r="K37" s="29">
        <f>ROUND($T$10*$E37,2)</f>
        <v>-15891.03</v>
      </c>
      <c r="L37" s="29">
        <f>ROUND($T$11*$E37,2)</f>
        <v>0</v>
      </c>
      <c r="M37" s="29">
        <f>ROUND($T$12*$E37,2)</f>
        <v>62700.959999999999</v>
      </c>
      <c r="N37" s="29">
        <f>+G37+K37+L37+M37</f>
        <v>2031287.43</v>
      </c>
      <c r="O37" s="29">
        <f>+H37+K37+L37+M37</f>
        <v>2106669.89</v>
      </c>
      <c r="P37" s="54">
        <f>(O37-N37)/N37</f>
        <v>3.7110681081702061E-2</v>
      </c>
      <c r="Q37" s="1"/>
      <c r="S37" s="7">
        <f>$S$20</f>
        <v>1500</v>
      </c>
      <c r="T37" s="20">
        <f>$T$17*E37</f>
        <v>924727.49999999988</v>
      </c>
      <c r="U37" s="20">
        <f>$U$17*$A$36</f>
        <v>525000</v>
      </c>
      <c r="V37" s="20">
        <f>$V$17*$A$36</f>
        <v>393750</v>
      </c>
      <c r="W37" s="20">
        <f>$W$17*$A$36</f>
        <v>139500</v>
      </c>
      <c r="X37" s="25">
        <f>S37+T37+U37+V37+W37</f>
        <v>1984477.5</v>
      </c>
      <c r="Y37" s="25"/>
      <c r="Z37" s="20"/>
      <c r="AC37" s="7">
        <f>$AC$20</f>
        <v>1499.96</v>
      </c>
      <c r="AD37" s="20">
        <f>$AD$17*E37</f>
        <v>862860</v>
      </c>
      <c r="AE37" s="20">
        <f>$A$36*$AE$17</f>
        <v>600750</v>
      </c>
      <c r="AF37" s="20">
        <f>$A$36*$AF$17</f>
        <v>450750</v>
      </c>
      <c r="AG37" s="20">
        <f>$A$36*$AG$17</f>
        <v>144000</v>
      </c>
      <c r="AH37" s="25">
        <f>AC37+AD37+AE37+AF37+AG37</f>
        <v>2059859.96</v>
      </c>
      <c r="AI37" s="20"/>
      <c r="AJ37" s="17"/>
      <c r="AK37" s="7">
        <f>AH37-X37</f>
        <v>75382.459999999963</v>
      </c>
      <c r="AM37" s="18">
        <f>AH37/X37-1</f>
        <v>3.7986049224544072E-2</v>
      </c>
    </row>
    <row r="38" spans="1:39" x14ac:dyDescent="0.2">
      <c r="C38" s="13">
        <v>0.7</v>
      </c>
      <c r="E38" s="1">
        <f>C38*($A$36*730)</f>
        <v>38325000</v>
      </c>
      <c r="F38" s="1"/>
      <c r="G38" s="29">
        <f t="shared" si="0"/>
        <v>2354368.5</v>
      </c>
      <c r="H38" s="29">
        <f>+AH38</f>
        <v>2405003.96</v>
      </c>
      <c r="I38" s="29">
        <f>+H38-G38</f>
        <v>50635.459999999963</v>
      </c>
      <c r="J38" s="54">
        <f>ROUND(+I38/G38,4)</f>
        <v>2.1499999999999998E-2</v>
      </c>
      <c r="K38" s="29">
        <f>ROUND($T$10*$E38,2)</f>
        <v>-22247.439999999999</v>
      </c>
      <c r="L38" s="29">
        <f>ROUND($T$11*$E38,2)</f>
        <v>0</v>
      </c>
      <c r="M38" s="29">
        <f>ROUND($T$12*$E38,2)</f>
        <v>87781.34</v>
      </c>
      <c r="N38" s="29">
        <f>+G38+K38+L38+M38</f>
        <v>2419902.4</v>
      </c>
      <c r="O38" s="29">
        <f>+H38+K38+L38+M38</f>
        <v>2470537.86</v>
      </c>
      <c r="P38" s="54">
        <f>(O38-N38)/N38</f>
        <v>2.0924587702380048E-2</v>
      </c>
      <c r="Q38" s="1"/>
      <c r="S38" s="7">
        <f>$S$20</f>
        <v>1500</v>
      </c>
      <c r="T38" s="20">
        <f>$T$17*E38</f>
        <v>1294618.5</v>
      </c>
      <c r="U38" s="20">
        <f>$U$17*$A$36</f>
        <v>525000</v>
      </c>
      <c r="V38" s="20">
        <f>$V$17*$A$36</f>
        <v>393750</v>
      </c>
      <c r="W38" s="20">
        <f>$W$17*$A$36</f>
        <v>139500</v>
      </c>
      <c r="X38" s="25">
        <f>S38+T38+U38+V38+W38</f>
        <v>2354368.5</v>
      </c>
      <c r="Y38" s="25"/>
      <c r="Z38" s="20"/>
      <c r="AC38" s="7">
        <f>$AC$20</f>
        <v>1499.96</v>
      </c>
      <c r="AD38" s="20">
        <f>$AD$17*E38</f>
        <v>1208004</v>
      </c>
      <c r="AE38" s="20">
        <f>$A$36*$AE$17</f>
        <v>600750</v>
      </c>
      <c r="AF38" s="20">
        <f>$A$36*$AF$17</f>
        <v>450750</v>
      </c>
      <c r="AG38" s="20">
        <f>$A$36*$AG$17</f>
        <v>144000</v>
      </c>
      <c r="AH38" s="25">
        <f>AC38+AD38+AE38+AF38+AG38</f>
        <v>2405003.96</v>
      </c>
      <c r="AI38" s="20"/>
      <c r="AJ38" s="17"/>
      <c r="AK38" s="7">
        <f>AH38-X38</f>
        <v>50635.459999999963</v>
      </c>
      <c r="AM38" s="18">
        <f>AH38/X38-1</f>
        <v>2.1507024070361203E-2</v>
      </c>
    </row>
    <row r="39" spans="1:39" x14ac:dyDescent="0.2">
      <c r="T39" s="20"/>
      <c r="U39" s="20"/>
      <c r="V39" s="20"/>
      <c r="W39" s="20"/>
      <c r="X39" s="20"/>
      <c r="Y39" s="20"/>
    </row>
    <row r="40" spans="1:39" x14ac:dyDescent="0.2">
      <c r="A40" s="17" t="s">
        <v>314</v>
      </c>
      <c r="T40" s="20"/>
      <c r="U40" s="20"/>
      <c r="V40" s="20"/>
      <c r="W40" s="20"/>
      <c r="X40" s="20"/>
      <c r="Y40" s="20"/>
    </row>
    <row r="41" spans="1:39" x14ac:dyDescent="0.2">
      <c r="A41" s="170" t="str">
        <f>("Average usage = "&amp;TEXT(INPUT!K20*1,"0,000")&amp;" kWh per month")</f>
        <v>Average usage = 6,770,655 kWh per month</v>
      </c>
      <c r="T41" s="20"/>
      <c r="U41" s="20"/>
      <c r="V41" s="20"/>
      <c r="W41" s="20"/>
      <c r="X41" s="20"/>
      <c r="Y41" s="20"/>
    </row>
    <row r="42" spans="1:39" x14ac:dyDescent="0.2">
      <c r="A42" s="172" t="s">
        <v>315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1"/>
      <c r="AF42" s="20"/>
      <c r="AG42" s="20"/>
      <c r="AH42" s="20"/>
      <c r="AI42" s="20"/>
      <c r="AJ42" s="20"/>
      <c r="AK42" s="6"/>
    </row>
    <row r="43" spans="1:39" x14ac:dyDescent="0.2">
      <c r="A43" s="173" t="s">
        <v>96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74" t="s">
        <v>127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174" t="str">
        <f>+'Rate Case Constants'!C26</f>
        <v>Calculations may vary from other schedules due to rounding</v>
      </c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5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5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5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5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5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5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5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5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5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5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5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5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5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5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5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5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ColWidth="9.140625" defaultRowHeight="12.75" x14ac:dyDescent="0.2"/>
  <cols>
    <col min="1" max="1" width="10.42578125" style="17" customWidth="1"/>
    <col min="2" max="2" width="3.7109375" style="17" customWidth="1"/>
    <col min="3" max="3" width="6.5703125" style="17" customWidth="1"/>
    <col min="4" max="4" width="1.85546875" style="17" customWidth="1"/>
    <col min="5" max="5" width="12" style="17" bestFit="1" customWidth="1"/>
    <col min="6" max="6" width="2" style="17" customWidth="1"/>
    <col min="7" max="7" width="15.140625" style="17" bestFit="1" customWidth="1"/>
    <col min="8" max="8" width="14.7109375" style="17" customWidth="1"/>
    <col min="9" max="9" width="14.85546875" style="17" customWidth="1"/>
    <col min="10" max="10" width="9.85546875" style="17" customWidth="1"/>
    <col min="11" max="11" width="13.42578125" style="17" bestFit="1" customWidth="1"/>
    <col min="12" max="12" width="10.140625" style="17" customWidth="1"/>
    <col min="13" max="13" width="13.42578125" style="17" bestFit="1" customWidth="1"/>
    <col min="14" max="15" width="15.140625" style="17" bestFit="1" customWidth="1"/>
    <col min="16" max="18" width="9.85546875" style="17" customWidth="1"/>
    <col min="19" max="19" width="10" style="17" customWidth="1"/>
    <col min="20" max="20" width="14.42578125" style="17" bestFit="1" customWidth="1"/>
    <col min="21" max="21" width="12.7109375" style="17" bestFit="1" customWidth="1"/>
    <col min="22" max="22" width="13.85546875" style="17" bestFit="1" customWidth="1"/>
    <col min="23" max="23" width="12.7109375" style="17" bestFit="1" customWidth="1"/>
    <col min="24" max="24" width="14.42578125" style="17" bestFit="1" customWidth="1"/>
    <col min="25" max="25" width="3.140625" style="17" customWidth="1"/>
    <col min="26" max="26" width="14.42578125" style="17" customWidth="1"/>
    <col min="27" max="27" width="3.85546875" style="17" customWidth="1"/>
    <col min="28" max="28" width="2.42578125" style="17" customWidth="1"/>
    <col min="29" max="30" width="14.42578125" style="17" bestFit="1" customWidth="1"/>
    <col min="31" max="31" width="12.7109375" style="17" bestFit="1" customWidth="1"/>
    <col min="32" max="32" width="13.85546875" style="17" bestFit="1" customWidth="1"/>
    <col min="33" max="33" width="12.7109375" style="17" bestFit="1" customWidth="1"/>
    <col min="34" max="35" width="14.42578125" style="17" bestFit="1" customWidth="1"/>
    <col min="36" max="36" width="11.140625" style="17" customWidth="1"/>
    <col min="37" max="37" width="11.42578125" style="17" bestFit="1" customWidth="1"/>
    <col min="38" max="38" width="10.7109375" style="17" customWidth="1"/>
    <col min="39" max="39" width="11.42578125" style="17" bestFit="1" customWidth="1"/>
    <col min="40" max="16384" width="9.140625" style="17"/>
  </cols>
  <sheetData>
    <row r="1" spans="1:39" x14ac:dyDescent="0.2">
      <c r="A1" s="431" t="str">
        <f>+'Rate Case Constants'!C9</f>
        <v>LOUISVILLE GAS AND ELECTRIC COMPANY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39" x14ac:dyDescent="0.2">
      <c r="A2" s="431" t="str">
        <f>+'Rate Case Constants'!C10</f>
        <v>CASE NO. 2018-00295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39" x14ac:dyDescent="0.2">
      <c r="A3" s="433" t="str">
        <f>+'Rate Case Constants'!C24</f>
        <v>Typical Bill Comparison under Present &amp; Proposed Rates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39" x14ac:dyDescent="0.2">
      <c r="A4" s="431" t="str">
        <f>+'Rate Case Constants'!C21</f>
        <v>FORECAST PERIOD FOR THE 12 MONTHS ENDED APRIL 30, 2020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</row>
    <row r="5" spans="1:39" x14ac:dyDescent="0.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39" x14ac:dyDescent="0.2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39" x14ac:dyDescent="0.2">
      <c r="A7" s="254" t="str">
        <f>+'Rate Case Constants'!C33</f>
        <v>DATA: ____BASE PERIOD__X___FORECASTED PERIOD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 t="str">
        <f>+'Rate Case Constants'!C25</f>
        <v>SCHEDULE N</v>
      </c>
    </row>
    <row r="8" spans="1:39" x14ac:dyDescent="0.2">
      <c r="A8" s="254" t="str">
        <f>+'Rate Case Constants'!C29</f>
        <v>TYPE OF FILING: __X__ ORIGINAL  _____ UPDATED  _____ REVISED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6"/>
      <c r="M8" s="254"/>
      <c r="N8" s="254"/>
      <c r="O8" s="254"/>
      <c r="P8" s="256" t="str">
        <f>+'Rate Case Constants'!L18</f>
        <v>PAGE 11 of 26</v>
      </c>
    </row>
    <row r="9" spans="1:39" x14ac:dyDescent="0.2">
      <c r="A9" s="254" t="str">
        <f>+'Rate Case Constants'!C34</f>
        <v>WORKPAPER REFERENCE NO(S):________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6" t="str">
        <f>+'Rate Case Constants'!C36</f>
        <v>WITNESS:   R. M. CONROY</v>
      </c>
      <c r="T9" s="17" t="s">
        <v>503</v>
      </c>
    </row>
    <row r="10" spans="1:39" x14ac:dyDescent="0.2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S10" s="83" t="s">
        <v>70</v>
      </c>
      <c r="T10" s="17">
        <f>INPUT!G61</f>
        <v>-5.8049431987428101E-4</v>
      </c>
    </row>
    <row r="11" spans="1:39" x14ac:dyDescent="0.2">
      <c r="A11" s="182" t="s">
        <v>341</v>
      </c>
      <c r="S11" s="83" t="s">
        <v>72</v>
      </c>
      <c r="T11" s="17">
        <f>INPUT!H61</f>
        <v>0</v>
      </c>
      <c r="V11" s="132" t="s">
        <v>128</v>
      </c>
      <c r="AD11" s="132" t="s">
        <v>128</v>
      </c>
    </row>
    <row r="12" spans="1:39" x14ac:dyDescent="0.2"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 t="s">
        <v>71</v>
      </c>
      <c r="T12" s="17">
        <f>INPUT!I61</f>
        <v>2.2904460360449203E-3</v>
      </c>
    </row>
    <row r="13" spans="1:39" x14ac:dyDescent="0.2">
      <c r="A13" s="85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U13" s="86" t="s">
        <v>1</v>
      </c>
      <c r="V13" s="86" t="s">
        <v>1</v>
      </c>
      <c r="W13" s="86" t="s">
        <v>1</v>
      </c>
      <c r="Z13" s="86" t="s">
        <v>71</v>
      </c>
      <c r="AD13" s="25"/>
      <c r="AE13" s="133" t="s">
        <v>9</v>
      </c>
      <c r="AF13" s="133" t="s">
        <v>9</v>
      </c>
      <c r="AG13" s="133" t="s">
        <v>9</v>
      </c>
      <c r="AH13" s="25"/>
      <c r="AI13" s="86" t="s">
        <v>71</v>
      </c>
    </row>
    <row r="14" spans="1:39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86" t="s">
        <v>1</v>
      </c>
      <c r="T14" s="86" t="s">
        <v>1</v>
      </c>
      <c r="U14" s="86" t="s">
        <v>34</v>
      </c>
      <c r="V14" s="86" t="s">
        <v>30</v>
      </c>
      <c r="W14" s="86" t="s">
        <v>22</v>
      </c>
      <c r="X14" s="86" t="s">
        <v>1</v>
      </c>
      <c r="Y14" s="86"/>
      <c r="Z14" s="86" t="s">
        <v>1</v>
      </c>
      <c r="AC14" s="86" t="s">
        <v>9</v>
      </c>
      <c r="AD14" s="86" t="s">
        <v>9</v>
      </c>
      <c r="AE14" s="133" t="s">
        <v>34</v>
      </c>
      <c r="AF14" s="133" t="s">
        <v>30</v>
      </c>
      <c r="AG14" s="133" t="s">
        <v>22</v>
      </c>
      <c r="AH14" s="133" t="s">
        <v>9</v>
      </c>
      <c r="AI14" s="86" t="s">
        <v>1</v>
      </c>
      <c r="AK14" s="86"/>
    </row>
    <row r="15" spans="1:39" x14ac:dyDescent="0.2">
      <c r="C15" s="86" t="s">
        <v>23</v>
      </c>
      <c r="E15" s="86"/>
      <c r="F15" s="86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86"/>
      <c r="R15" s="86"/>
      <c r="S15" s="86" t="s">
        <v>2</v>
      </c>
      <c r="T15" s="86" t="s">
        <v>57</v>
      </c>
      <c r="U15" s="86" t="s">
        <v>25</v>
      </c>
      <c r="V15" s="86" t="s">
        <v>25</v>
      </c>
      <c r="W15" s="86" t="s">
        <v>18</v>
      </c>
      <c r="X15" s="86" t="s">
        <v>5</v>
      </c>
      <c r="Y15" s="86"/>
      <c r="Z15" s="86" t="s">
        <v>75</v>
      </c>
      <c r="AC15" s="87" t="s">
        <v>56</v>
      </c>
      <c r="AD15" s="86" t="s">
        <v>57</v>
      </c>
      <c r="AE15" s="133" t="s">
        <v>25</v>
      </c>
      <c r="AF15" s="133" t="s">
        <v>25</v>
      </c>
      <c r="AG15" s="133" t="s">
        <v>18</v>
      </c>
      <c r="AH15" s="133" t="s">
        <v>5</v>
      </c>
      <c r="AI15" s="86" t="s">
        <v>75</v>
      </c>
      <c r="AK15" s="86" t="s">
        <v>6</v>
      </c>
      <c r="AL15" s="86"/>
      <c r="AM15" s="86" t="s">
        <v>8</v>
      </c>
    </row>
    <row r="16" spans="1:39" x14ac:dyDescent="0.2">
      <c r="A16" s="86" t="s">
        <v>26</v>
      </c>
      <c r="C16" s="86" t="s">
        <v>24</v>
      </c>
      <c r="E16" s="86" t="s">
        <v>0</v>
      </c>
      <c r="F16" s="86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86"/>
      <c r="R16" s="86"/>
      <c r="S16" s="87" t="s">
        <v>3</v>
      </c>
      <c r="T16" s="86" t="s">
        <v>3</v>
      </c>
      <c r="U16" s="86" t="s">
        <v>3</v>
      </c>
      <c r="V16" s="86" t="s">
        <v>3</v>
      </c>
      <c r="W16" s="86" t="s">
        <v>3</v>
      </c>
      <c r="X16" s="86" t="s">
        <v>4</v>
      </c>
      <c r="Y16" s="86"/>
      <c r="Z16" s="86" t="s">
        <v>3</v>
      </c>
      <c r="AC16" s="87" t="s">
        <v>3</v>
      </c>
      <c r="AD16" s="86" t="s">
        <v>3</v>
      </c>
      <c r="AE16" s="133" t="s">
        <v>3</v>
      </c>
      <c r="AF16" s="133" t="s">
        <v>3</v>
      </c>
      <c r="AG16" s="133" t="s">
        <v>3</v>
      </c>
      <c r="AH16" s="133" t="s">
        <v>4</v>
      </c>
      <c r="AI16" s="86" t="s">
        <v>3</v>
      </c>
      <c r="AK16" s="86" t="s">
        <v>7</v>
      </c>
      <c r="AL16" s="86"/>
      <c r="AM16" s="86" t="s">
        <v>7</v>
      </c>
    </row>
    <row r="17" spans="1:39" x14ac:dyDescent="0.2">
      <c r="A17" s="86"/>
      <c r="C17" s="86"/>
      <c r="E17" s="86"/>
      <c r="F17" s="86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86"/>
      <c r="R17" s="86"/>
      <c r="S17" s="87"/>
      <c r="T17" s="134">
        <f>+INPUT!$L$6</f>
        <v>3.3779999999999998E-2</v>
      </c>
      <c r="U17" s="135">
        <f>+INPUT!$L$14</f>
        <v>6.46</v>
      </c>
      <c r="V17" s="135">
        <f>+INPUT!$L$15</f>
        <v>4.7300000000000004</v>
      </c>
      <c r="W17" s="135">
        <f>+INPUT!$L$16</f>
        <v>1.7</v>
      </c>
      <c r="X17" s="86"/>
      <c r="Y17" s="86"/>
      <c r="Z17" s="134"/>
      <c r="AC17" s="87"/>
      <c r="AD17" s="134">
        <f>+INPUT!$L$28</f>
        <v>3.1519999999999999E-2</v>
      </c>
      <c r="AE17" s="135">
        <f>+INPUT!$L$35</f>
        <v>7.61</v>
      </c>
      <c r="AF17" s="135">
        <f>+INPUT!$L$36</f>
        <v>5.66</v>
      </c>
      <c r="AG17" s="135">
        <f>+INPUT!$L$37</f>
        <v>1.8</v>
      </c>
      <c r="AH17" s="133"/>
      <c r="AI17" s="134"/>
      <c r="AK17" s="86"/>
      <c r="AL17" s="86"/>
      <c r="AM17" s="86"/>
    </row>
    <row r="18" spans="1:39" x14ac:dyDescent="0.2">
      <c r="A18" s="150"/>
      <c r="B18" s="150"/>
      <c r="C18" s="97"/>
      <c r="D18" s="150"/>
      <c r="E18" s="97"/>
      <c r="F18" s="97"/>
      <c r="G18" s="234"/>
      <c r="H18" s="234"/>
      <c r="I18" s="234" t="str">
        <f>("[ "&amp;H13&amp;" - "&amp;G13&amp;" ]")</f>
        <v>[ B - A ]</v>
      </c>
      <c r="J18" s="234" t="str">
        <f>("[ "&amp;I13&amp;" / "&amp;G13&amp;" ]")</f>
        <v>[ C / A ]</v>
      </c>
      <c r="K18" s="262"/>
      <c r="L18" s="262"/>
      <c r="M18" s="262"/>
      <c r="N18" s="234" t="str">
        <f>("["&amp;G13&amp;"+"&amp;$K$13&amp;"+"&amp;$L$13&amp;"+"&amp;$M$13&amp;"]")</f>
        <v>[A+E+F+G]</v>
      </c>
      <c r="O18" s="234" t="str">
        <f>("["&amp;H13&amp;"+"&amp;$K$13&amp;"+"&amp;$L$13&amp;"+"&amp;$M$13&amp;"]")</f>
        <v>[B+E+F+G]</v>
      </c>
      <c r="P18" s="234" t="str">
        <f>("[("&amp;O13&amp;" - "&amp;N13&amp;")/"&amp;N13&amp;"]")</f>
        <v>[(I - H)/H]</v>
      </c>
      <c r="Q18" s="86"/>
      <c r="R18" s="86"/>
      <c r="T18" s="86" t="s">
        <v>14</v>
      </c>
      <c r="U18" s="86" t="s">
        <v>59</v>
      </c>
      <c r="V18" s="86" t="s">
        <v>59</v>
      </c>
      <c r="W18" s="86" t="s">
        <v>59</v>
      </c>
      <c r="X18" s="86"/>
      <c r="Y18" s="86"/>
      <c r="Z18" s="86" t="s">
        <v>14</v>
      </c>
      <c r="AC18" s="87"/>
      <c r="AD18" s="86" t="s">
        <v>14</v>
      </c>
      <c r="AE18" s="86" t="s">
        <v>59</v>
      </c>
      <c r="AF18" s="86" t="s">
        <v>59</v>
      </c>
      <c r="AG18" s="86" t="s">
        <v>59</v>
      </c>
      <c r="AH18" s="133"/>
      <c r="AI18" s="86" t="s">
        <v>14</v>
      </c>
      <c r="AK18" s="86"/>
      <c r="AL18" s="86"/>
      <c r="AM18" s="86"/>
    </row>
    <row r="19" spans="1:39" x14ac:dyDescent="0.2">
      <c r="C19" s="86"/>
      <c r="E19" s="86"/>
      <c r="F19" s="86"/>
      <c r="G19" s="3"/>
      <c r="H19" s="3"/>
      <c r="I19" s="164"/>
      <c r="J19" s="164"/>
      <c r="K19" s="3"/>
      <c r="L19" s="3"/>
      <c r="M19" s="3"/>
      <c r="N19" s="164"/>
      <c r="O19" s="3"/>
      <c r="P19" s="164"/>
      <c r="Q19" s="86"/>
      <c r="R19" s="86"/>
      <c r="U19" s="86"/>
      <c r="V19" s="86"/>
      <c r="W19" s="86"/>
      <c r="X19" s="86"/>
      <c r="Y19" s="86"/>
      <c r="AC19" s="87"/>
      <c r="AD19" s="86"/>
      <c r="AE19" s="133"/>
      <c r="AF19" s="133"/>
      <c r="AG19" s="133"/>
      <c r="AH19" s="133"/>
      <c r="AK19" s="86"/>
      <c r="AL19" s="86"/>
      <c r="AM19" s="86"/>
    </row>
    <row r="20" spans="1:39" x14ac:dyDescent="0.2">
      <c r="A20" s="82">
        <v>50000</v>
      </c>
      <c r="B20" s="82"/>
      <c r="C20" s="136">
        <v>0.3</v>
      </c>
      <c r="E20" s="82">
        <f>C20*($A$20*730)</f>
        <v>10950000</v>
      </c>
      <c r="F20" s="82"/>
      <c r="G20" s="89">
        <f>+X20</f>
        <v>854391</v>
      </c>
      <c r="H20" s="89">
        <f>+AH20</f>
        <v>909893.96</v>
      </c>
      <c r="I20" s="89">
        <f>+H20-G20</f>
        <v>55502.959999999963</v>
      </c>
      <c r="J20" s="90">
        <f>ROUND(+I20/G20,4)</f>
        <v>6.5000000000000002E-2</v>
      </c>
      <c r="K20" s="89">
        <f>ROUND($T$10*$E20,2)</f>
        <v>-6356.41</v>
      </c>
      <c r="L20" s="89">
        <f>ROUND($T$11*$E20,2)</f>
        <v>0</v>
      </c>
      <c r="M20" s="89">
        <f>ROUND($T$12*$E20,2)</f>
        <v>25080.38</v>
      </c>
      <c r="N20" s="89">
        <f>+G20+K20+L20+M20</f>
        <v>873114.97</v>
      </c>
      <c r="O20" s="89">
        <f>+H20+K20+L20+M20</f>
        <v>928617.92999999993</v>
      </c>
      <c r="P20" s="90">
        <f>(O20-N20)/N20</f>
        <v>6.3568902042763012E-2</v>
      </c>
      <c r="Q20" s="82"/>
      <c r="S20" s="40">
        <f>+INPUT!$L$4</f>
        <v>1500</v>
      </c>
      <c r="T20" s="25">
        <f>$T$17*E20</f>
        <v>369891</v>
      </c>
      <c r="U20" s="25">
        <f>$U$17*($A$20*0.5)</f>
        <v>161500</v>
      </c>
      <c r="V20" s="25">
        <f>$V$17*$A$20</f>
        <v>236500.00000000003</v>
      </c>
      <c r="W20" s="25">
        <f>$W$17*$A$20</f>
        <v>85000</v>
      </c>
      <c r="X20" s="25">
        <f>S20+T20+U20+V20+W20</f>
        <v>854391</v>
      </c>
      <c r="Y20" s="25"/>
      <c r="Z20" s="25"/>
      <c r="AC20" s="40">
        <f>INPUT!$L$26</f>
        <v>1499.96</v>
      </c>
      <c r="AD20" s="25">
        <f>$AD$17*E20</f>
        <v>345144</v>
      </c>
      <c r="AE20" s="25">
        <f>$AE$17*($A$20*0.5)</f>
        <v>190250</v>
      </c>
      <c r="AF20" s="25">
        <f>$A$20*$AF$17</f>
        <v>283000</v>
      </c>
      <c r="AG20" s="25">
        <f>$A$20*$AG$17</f>
        <v>90000</v>
      </c>
      <c r="AH20" s="25">
        <f>AC20+AD20+AE20+AF20+AG20</f>
        <v>909893.96</v>
      </c>
      <c r="AI20" s="25"/>
      <c r="AK20" s="40">
        <f>AH20-X20</f>
        <v>55502.959999999963</v>
      </c>
      <c r="AM20" s="137">
        <f>AH20/X20-1</f>
        <v>6.4962013878891556E-2</v>
      </c>
    </row>
    <row r="21" spans="1:39" x14ac:dyDescent="0.2">
      <c r="C21" s="136">
        <v>0.5</v>
      </c>
      <c r="E21" s="82">
        <f>C21*($A$20*730)</f>
        <v>18250000</v>
      </c>
      <c r="F21" s="82"/>
      <c r="G21" s="89">
        <f t="shared" ref="G21:G38" si="0">+X21</f>
        <v>1100985</v>
      </c>
      <c r="H21" s="89">
        <f>+AH21</f>
        <v>1139989.96</v>
      </c>
      <c r="I21" s="89">
        <f>+H21-G21</f>
        <v>39004.959999999963</v>
      </c>
      <c r="J21" s="90">
        <f>ROUND(+I21/G21,4)</f>
        <v>3.5400000000000001E-2</v>
      </c>
      <c r="K21" s="89">
        <f>ROUND($T$10*$E21,2)</f>
        <v>-10594.02</v>
      </c>
      <c r="L21" s="89">
        <f>ROUND($T$11*$E21,2)</f>
        <v>0</v>
      </c>
      <c r="M21" s="89">
        <f>ROUND($T$12*$E21,2)</f>
        <v>41800.639999999999</v>
      </c>
      <c r="N21" s="89">
        <f>+G21+K21+L21+M21</f>
        <v>1132191.6199999999</v>
      </c>
      <c r="O21" s="89">
        <f>+H21+K21+L21+M21</f>
        <v>1171196.5799999998</v>
      </c>
      <c r="P21" s="90">
        <f>(O21-N21)/N21</f>
        <v>3.4450846756841361E-2</v>
      </c>
      <c r="Q21" s="82"/>
      <c r="S21" s="40">
        <f>$S$20</f>
        <v>1500</v>
      </c>
      <c r="T21" s="25">
        <f>$T$17*E21</f>
        <v>616485</v>
      </c>
      <c r="U21" s="25">
        <f>$U$17*($A$20*0.5)</f>
        <v>161500</v>
      </c>
      <c r="V21" s="25">
        <f>$V$17*$A$20</f>
        <v>236500.00000000003</v>
      </c>
      <c r="W21" s="25">
        <f>$W$17*$A$20</f>
        <v>85000</v>
      </c>
      <c r="X21" s="25">
        <f>S21+T21+U21+V21+W21</f>
        <v>1100985</v>
      </c>
      <c r="Y21" s="25"/>
      <c r="Z21" s="25"/>
      <c r="AC21" s="40">
        <f>$AC$20</f>
        <v>1499.96</v>
      </c>
      <c r="AD21" s="25">
        <f>$AD$17*E21</f>
        <v>575240</v>
      </c>
      <c r="AE21" s="25">
        <f>$AE$17*($A$20*0.5)</f>
        <v>190250</v>
      </c>
      <c r="AF21" s="25">
        <f>$A$20*$AF$17</f>
        <v>283000</v>
      </c>
      <c r="AG21" s="25">
        <f>$A$20*$AG$17</f>
        <v>90000</v>
      </c>
      <c r="AH21" s="25">
        <f>AC21+AD21+AE21+AF21+AG21</f>
        <v>1139989.96</v>
      </c>
      <c r="AI21" s="25"/>
      <c r="AK21" s="40">
        <f>AH21-X21</f>
        <v>39004.959999999963</v>
      </c>
      <c r="AM21" s="137">
        <f>AH21/X21-1</f>
        <v>3.5427330980894345E-2</v>
      </c>
    </row>
    <row r="22" spans="1:39" x14ac:dyDescent="0.2">
      <c r="C22" s="136">
        <v>0.7</v>
      </c>
      <c r="E22" s="82">
        <f>C22*($A$20*730)</f>
        <v>25550000</v>
      </c>
      <c r="F22" s="82"/>
      <c r="G22" s="89">
        <f t="shared" si="0"/>
        <v>1347579</v>
      </c>
      <c r="H22" s="89">
        <f>+AH22</f>
        <v>1370085.96</v>
      </c>
      <c r="I22" s="89">
        <f>+H22-G22</f>
        <v>22506.959999999963</v>
      </c>
      <c r="J22" s="90">
        <f>ROUND(+I22/G22,4)</f>
        <v>1.67E-2</v>
      </c>
      <c r="K22" s="89">
        <f>ROUND($T$10*$E22,2)</f>
        <v>-14831.63</v>
      </c>
      <c r="L22" s="89">
        <f>ROUND($T$11*$E22,2)</f>
        <v>0</v>
      </c>
      <c r="M22" s="89">
        <f>ROUND($T$12*$E22,2)</f>
        <v>58520.9</v>
      </c>
      <c r="N22" s="89">
        <f>+G22+K22+L22+M22</f>
        <v>1391268.27</v>
      </c>
      <c r="O22" s="89">
        <f>+H22+K22+L22+M22</f>
        <v>1413775.23</v>
      </c>
      <c r="P22" s="90">
        <f>(O22-N22)/N22</f>
        <v>1.6177296992477205E-2</v>
      </c>
      <c r="Q22" s="82"/>
      <c r="S22" s="40">
        <f>$S$20</f>
        <v>1500</v>
      </c>
      <c r="T22" s="25">
        <f>$T$17*E22</f>
        <v>863078.99999999988</v>
      </c>
      <c r="U22" s="25">
        <f>$U$17*($A$20*0.5)</f>
        <v>161500</v>
      </c>
      <c r="V22" s="25">
        <f>$V$17*$A$20</f>
        <v>236500.00000000003</v>
      </c>
      <c r="W22" s="25">
        <f>$W$17*$A$20</f>
        <v>85000</v>
      </c>
      <c r="X22" s="25">
        <f>S22+T22+U22+V22+W22</f>
        <v>1347579</v>
      </c>
      <c r="Y22" s="25"/>
      <c r="Z22" s="25"/>
      <c r="AC22" s="40">
        <f>$AC$20</f>
        <v>1499.96</v>
      </c>
      <c r="AD22" s="25">
        <f>$AD$17*E22</f>
        <v>805336</v>
      </c>
      <c r="AE22" s="25">
        <f>$AE$17*($A$20*0.5)</f>
        <v>190250</v>
      </c>
      <c r="AF22" s="25">
        <f>$A$20*$AF$17</f>
        <v>283000</v>
      </c>
      <c r="AG22" s="25">
        <f>$A$20*$AG$17</f>
        <v>90000</v>
      </c>
      <c r="AH22" s="25">
        <f>AC22+AD22+AE22+AF22+AG22</f>
        <v>1370085.96</v>
      </c>
      <c r="AI22" s="25"/>
      <c r="AK22" s="40">
        <f>AH22-X22</f>
        <v>22506.959999999963</v>
      </c>
      <c r="AM22" s="137">
        <f>AH22/X22-1</f>
        <v>1.6701774070388531E-2</v>
      </c>
    </row>
    <row r="23" spans="1:39" x14ac:dyDescent="0.2">
      <c r="C23" s="136"/>
      <c r="E23" s="82"/>
      <c r="F23" s="82"/>
      <c r="G23" s="89"/>
      <c r="H23" s="89"/>
      <c r="J23" s="233"/>
      <c r="K23" s="82"/>
      <c r="L23" s="82"/>
      <c r="M23" s="82"/>
      <c r="P23" s="90"/>
      <c r="Q23" s="82"/>
      <c r="S23" s="40"/>
      <c r="T23" s="25"/>
      <c r="U23" s="25"/>
      <c r="V23" s="25"/>
      <c r="W23" s="25"/>
      <c r="X23" s="25"/>
      <c r="Y23" s="25"/>
      <c r="AC23" s="40"/>
      <c r="AD23" s="25"/>
      <c r="AE23" s="25"/>
      <c r="AF23" s="25"/>
      <c r="AG23" s="25"/>
      <c r="AH23" s="25"/>
      <c r="AK23" s="84"/>
      <c r="AM23" s="84"/>
    </row>
    <row r="24" spans="1:39" x14ac:dyDescent="0.2">
      <c r="A24" s="82">
        <v>75000</v>
      </c>
      <c r="B24" s="82"/>
      <c r="C24" s="136">
        <v>0.3</v>
      </c>
      <c r="E24" s="82">
        <f>C24*($A$24*730)</f>
        <v>16425000</v>
      </c>
      <c r="F24" s="82"/>
      <c r="G24" s="89">
        <f t="shared" si="0"/>
        <v>1280836.5</v>
      </c>
      <c r="H24" s="89">
        <f>+AH24</f>
        <v>1364090.96</v>
      </c>
      <c r="I24" s="89">
        <f>+H24-G24</f>
        <v>83254.459999999963</v>
      </c>
      <c r="J24" s="90">
        <f>ROUND(+I24/G24,4)</f>
        <v>6.5000000000000002E-2</v>
      </c>
      <c r="K24" s="89">
        <f>ROUND($T$10*$E24,2)</f>
        <v>-9534.6200000000008</v>
      </c>
      <c r="L24" s="89">
        <f>ROUND($T$11*$E24,2)</f>
        <v>0</v>
      </c>
      <c r="M24" s="89">
        <f>ROUND($T$12*$E24,2)</f>
        <v>37620.58</v>
      </c>
      <c r="N24" s="89">
        <f>+G24+K24+L24+M24</f>
        <v>1308922.46</v>
      </c>
      <c r="O24" s="89">
        <f>+H24+K24+L24+M24</f>
        <v>1392176.92</v>
      </c>
      <c r="P24" s="90">
        <f>(O24-N24)/N24</f>
        <v>6.3605341450096262E-2</v>
      </c>
      <c r="Q24" s="82"/>
      <c r="S24" s="40">
        <f>$S$20</f>
        <v>1500</v>
      </c>
      <c r="T24" s="25">
        <f>$T$17*E24</f>
        <v>554836.5</v>
      </c>
      <c r="U24" s="25">
        <f>$U$17*($A$24*0.5)</f>
        <v>242250</v>
      </c>
      <c r="V24" s="25">
        <f>$V$17*$A$24</f>
        <v>354750.00000000006</v>
      </c>
      <c r="W24" s="25">
        <f>$W$17*$A$24</f>
        <v>127500</v>
      </c>
      <c r="X24" s="25">
        <f>S24+T24+U24+V24+W24</f>
        <v>1280836.5</v>
      </c>
      <c r="Y24" s="25"/>
      <c r="Z24" s="25"/>
      <c r="AC24" s="40">
        <f>$AC$20</f>
        <v>1499.96</v>
      </c>
      <c r="AD24" s="25">
        <f>$AD$17*E24</f>
        <v>517716</v>
      </c>
      <c r="AE24" s="25">
        <f>$AE$17*($A$24*0.5)</f>
        <v>285375</v>
      </c>
      <c r="AF24" s="25">
        <f>$A$24*$AF$17</f>
        <v>424500</v>
      </c>
      <c r="AG24" s="25">
        <f>$A$24*$AG$17</f>
        <v>135000</v>
      </c>
      <c r="AH24" s="25">
        <f>AC24+AD24+AE24+AF24+AG24</f>
        <v>1364090.96</v>
      </c>
      <c r="AI24" s="25"/>
      <c r="AK24" s="40">
        <f>AH24-X24</f>
        <v>83254.459999999963</v>
      </c>
      <c r="AL24" s="107"/>
      <c r="AM24" s="137">
        <f>AH24/X24-1</f>
        <v>6.5000068314730264E-2</v>
      </c>
    </row>
    <row r="25" spans="1:39" x14ac:dyDescent="0.2">
      <c r="C25" s="136">
        <v>0.5</v>
      </c>
      <c r="E25" s="82">
        <f>C25*($A$24*730)</f>
        <v>27375000</v>
      </c>
      <c r="F25" s="82"/>
      <c r="G25" s="89">
        <f t="shared" si="0"/>
        <v>1650727.5</v>
      </c>
      <c r="H25" s="89">
        <f>+AH25</f>
        <v>1709234.96</v>
      </c>
      <c r="I25" s="89">
        <f>+H25-G25</f>
        <v>58507.459999999963</v>
      </c>
      <c r="J25" s="90">
        <f>ROUND(+I25/G25,4)</f>
        <v>3.5400000000000001E-2</v>
      </c>
      <c r="K25" s="89">
        <f>ROUND($T$10*$E25,2)</f>
        <v>-15891.03</v>
      </c>
      <c r="L25" s="89">
        <f>ROUND($T$11*$E25,2)</f>
        <v>0</v>
      </c>
      <c r="M25" s="89">
        <f>ROUND($T$12*$E25,2)</f>
        <v>62700.959999999999</v>
      </c>
      <c r="N25" s="89">
        <f>+G25+K25+L25+M25</f>
        <v>1697537.43</v>
      </c>
      <c r="O25" s="89">
        <f>+H25+K25+L25+M25</f>
        <v>1756044.89</v>
      </c>
      <c r="P25" s="90">
        <f>(O25-N25)/N25</f>
        <v>3.4466079490217759E-2</v>
      </c>
      <c r="Q25" s="82"/>
      <c r="S25" s="40">
        <f>$S$20</f>
        <v>1500</v>
      </c>
      <c r="T25" s="25">
        <f>$T$17*E25</f>
        <v>924727.49999999988</v>
      </c>
      <c r="U25" s="25">
        <f>$U$17*($A$24*0.5)</f>
        <v>242250</v>
      </c>
      <c r="V25" s="25">
        <f>$V$17*$A$24</f>
        <v>354750.00000000006</v>
      </c>
      <c r="W25" s="25">
        <f>$W$17*$A$24</f>
        <v>127500</v>
      </c>
      <c r="X25" s="25">
        <f>S25+T25+U25+V25+W25</f>
        <v>1650727.5</v>
      </c>
      <c r="Y25" s="25"/>
      <c r="Z25" s="25"/>
      <c r="AC25" s="40">
        <f>$AC$20</f>
        <v>1499.96</v>
      </c>
      <c r="AD25" s="25">
        <f>$AD$17*E25</f>
        <v>862860</v>
      </c>
      <c r="AE25" s="25">
        <f>$AE$17*($A$24*0.5)</f>
        <v>285375</v>
      </c>
      <c r="AF25" s="25">
        <f>$A$24*$AF$17</f>
        <v>424500</v>
      </c>
      <c r="AG25" s="25">
        <f>$A$24*$AG$17</f>
        <v>135000</v>
      </c>
      <c r="AH25" s="25">
        <f>AC25+AD25+AE25+AF25+AG25</f>
        <v>1709234.96</v>
      </c>
      <c r="AI25" s="25"/>
      <c r="AK25" s="40">
        <f>AH25-X25</f>
        <v>58507.459999999963</v>
      </c>
      <c r="AL25" s="107"/>
      <c r="AM25" s="137">
        <f>AH25/X25-1</f>
        <v>3.5443439332051963E-2</v>
      </c>
    </row>
    <row r="26" spans="1:39" x14ac:dyDescent="0.2">
      <c r="C26" s="136">
        <v>0.7</v>
      </c>
      <c r="E26" s="82">
        <f>C26*($A$24*730)</f>
        <v>38325000</v>
      </c>
      <c r="F26" s="82"/>
      <c r="G26" s="89">
        <f t="shared" si="0"/>
        <v>2020618.5</v>
      </c>
      <c r="H26" s="89">
        <f>+AH26</f>
        <v>2054378.96</v>
      </c>
      <c r="I26" s="89">
        <f>+H26-G26</f>
        <v>33760.459999999963</v>
      </c>
      <c r="J26" s="90">
        <f>ROUND(+I26/G26,4)</f>
        <v>1.67E-2</v>
      </c>
      <c r="K26" s="89">
        <f>ROUND($T$10*$E26,2)</f>
        <v>-22247.439999999999</v>
      </c>
      <c r="L26" s="89">
        <f>ROUND($T$11*$E26,2)</f>
        <v>0</v>
      </c>
      <c r="M26" s="89">
        <f>ROUND($T$12*$E26,2)</f>
        <v>87781.34</v>
      </c>
      <c r="N26" s="89">
        <f>+G26+K26+L26+M26</f>
        <v>2086152.4000000001</v>
      </c>
      <c r="O26" s="89">
        <f>+H26+K26+L26+M26</f>
        <v>2119912.86</v>
      </c>
      <c r="P26" s="90">
        <f>(O26-N26)/N26</f>
        <v>1.618312257532083E-2</v>
      </c>
      <c r="Q26" s="82"/>
      <c r="S26" s="40">
        <f>$S$20</f>
        <v>1500</v>
      </c>
      <c r="T26" s="25">
        <f>$T$17*E26</f>
        <v>1294618.5</v>
      </c>
      <c r="U26" s="25">
        <f>$U$17*($A$24*0.5)</f>
        <v>242250</v>
      </c>
      <c r="V26" s="25">
        <f>$V$17*$A$24</f>
        <v>354750.00000000006</v>
      </c>
      <c r="W26" s="25">
        <f>$W$17*$A$24</f>
        <v>127500</v>
      </c>
      <c r="X26" s="25">
        <f>S26+T26+U26+V26+W26</f>
        <v>2020618.5</v>
      </c>
      <c r="Y26" s="25"/>
      <c r="Z26" s="25"/>
      <c r="AC26" s="40">
        <f>$AC$20</f>
        <v>1499.96</v>
      </c>
      <c r="AD26" s="25">
        <f>$AD$17*E26</f>
        <v>1208004</v>
      </c>
      <c r="AE26" s="25">
        <f>$AE$17*($A$24*0.5)</f>
        <v>285375</v>
      </c>
      <c r="AF26" s="25">
        <f>$A$24*$AF$17</f>
        <v>424500</v>
      </c>
      <c r="AG26" s="25">
        <f>$A$24*$AG$17</f>
        <v>135000</v>
      </c>
      <c r="AH26" s="25">
        <f>AC26+AD26+AE26+AF26+AG26</f>
        <v>2054378.96</v>
      </c>
      <c r="AI26" s="25"/>
      <c r="AK26" s="40">
        <f>AH26-X26</f>
        <v>33760.459999999963</v>
      </c>
      <c r="AM26" s="137">
        <f>AH26/X26-1</f>
        <v>1.6707983223948508E-2</v>
      </c>
    </row>
    <row r="27" spans="1:39" x14ac:dyDescent="0.2">
      <c r="C27" s="136"/>
      <c r="E27" s="82"/>
      <c r="F27" s="82"/>
      <c r="G27" s="89"/>
      <c r="H27" s="89"/>
      <c r="J27" s="233"/>
      <c r="K27" s="82"/>
      <c r="L27" s="82"/>
      <c r="M27" s="82"/>
      <c r="P27" s="90"/>
      <c r="Q27" s="82"/>
      <c r="S27" s="40"/>
      <c r="T27" s="25"/>
      <c r="U27" s="25"/>
      <c r="V27" s="25"/>
      <c r="W27" s="25"/>
      <c r="X27" s="25"/>
      <c r="Y27" s="25"/>
      <c r="AC27" s="40"/>
      <c r="AD27" s="25"/>
      <c r="AE27" s="25"/>
      <c r="AF27" s="25"/>
      <c r="AG27" s="25"/>
      <c r="AH27" s="25"/>
      <c r="AK27" s="84"/>
      <c r="AM27" s="84"/>
    </row>
    <row r="28" spans="1:39" x14ac:dyDescent="0.2">
      <c r="A28" s="82">
        <v>100000</v>
      </c>
      <c r="B28" s="82"/>
      <c r="C28" s="136">
        <v>0.3</v>
      </c>
      <c r="E28" s="82">
        <f>C28*($A$28*730)</f>
        <v>21900000</v>
      </c>
      <c r="F28" s="82"/>
      <c r="G28" s="89">
        <f t="shared" si="0"/>
        <v>1707282</v>
      </c>
      <c r="H28" s="89">
        <f>+AH28</f>
        <v>1818287.96</v>
      </c>
      <c r="I28" s="89">
        <f>+H28-G28</f>
        <v>111005.95999999996</v>
      </c>
      <c r="J28" s="90">
        <f>ROUND(+I28/G28,4)</f>
        <v>6.5000000000000002E-2</v>
      </c>
      <c r="K28" s="89">
        <f>ROUND($T$10*$E28,2)</f>
        <v>-12712.83</v>
      </c>
      <c r="L28" s="89">
        <f>ROUND($T$11*$E28,2)</f>
        <v>0</v>
      </c>
      <c r="M28" s="89">
        <f>ROUND($T$12*$E28,2)</f>
        <v>50160.77</v>
      </c>
      <c r="N28" s="89">
        <f>+G28+K28+L28+M28</f>
        <v>1744729.94</v>
      </c>
      <c r="O28" s="89">
        <f>+H28+K28+L28+M28</f>
        <v>1855735.9</v>
      </c>
      <c r="P28" s="90">
        <f>(O28-N28)/N28</f>
        <v>6.3623577182380431E-2</v>
      </c>
      <c r="Q28" s="82"/>
      <c r="S28" s="40">
        <f>$S$20</f>
        <v>1500</v>
      </c>
      <c r="T28" s="25">
        <f>$T$17*E28</f>
        <v>739782</v>
      </c>
      <c r="U28" s="25">
        <f>$U$17*($A$28*0.5)</f>
        <v>323000</v>
      </c>
      <c r="V28" s="25">
        <f>$V$17*$A$28</f>
        <v>473000.00000000006</v>
      </c>
      <c r="W28" s="25">
        <f>$W$17*$A$28</f>
        <v>170000</v>
      </c>
      <c r="X28" s="25">
        <f>S28+T28+U28+V28+W28</f>
        <v>1707282</v>
      </c>
      <c r="Y28" s="25"/>
      <c r="Z28" s="25"/>
      <c r="AC28" s="40">
        <f>$AC$20</f>
        <v>1499.96</v>
      </c>
      <c r="AD28" s="25">
        <f>$AD$17*E28</f>
        <v>690288</v>
      </c>
      <c r="AE28" s="25">
        <f>$AE$17*($A$28*0.5)</f>
        <v>380500</v>
      </c>
      <c r="AF28" s="25">
        <f>$A$28*$AF$17</f>
        <v>566000</v>
      </c>
      <c r="AG28" s="25">
        <f>$A$28*$AG$17</f>
        <v>180000</v>
      </c>
      <c r="AH28" s="25">
        <f>AC28+AD28+AE28+AF28+AG28</f>
        <v>1818287.96</v>
      </c>
      <c r="AI28" s="25"/>
      <c r="AK28" s="40">
        <f>AH28-X28</f>
        <v>111005.95999999996</v>
      </c>
      <c r="AM28" s="137">
        <f>AH28/X28-1</f>
        <v>6.5019112249762978E-2</v>
      </c>
    </row>
    <row r="29" spans="1:39" x14ac:dyDescent="0.2">
      <c r="C29" s="136">
        <v>0.5</v>
      </c>
      <c r="E29" s="82">
        <f>C29*($A$28*730)</f>
        <v>36500000</v>
      </c>
      <c r="F29" s="82"/>
      <c r="G29" s="89">
        <f t="shared" si="0"/>
        <v>2200470</v>
      </c>
      <c r="H29" s="89">
        <f>+AH29</f>
        <v>2278479.96</v>
      </c>
      <c r="I29" s="89">
        <f>+H29-G29</f>
        <v>78009.959999999963</v>
      </c>
      <c r="J29" s="90">
        <f>ROUND(+I29/G29,4)</f>
        <v>3.5499999999999997E-2</v>
      </c>
      <c r="K29" s="89">
        <f>ROUND($T$10*$E29,2)</f>
        <v>-21188.04</v>
      </c>
      <c r="L29" s="89">
        <f>ROUND($T$11*$E29,2)</f>
        <v>0</v>
      </c>
      <c r="M29" s="89">
        <f>ROUND($T$12*$E29,2)</f>
        <v>83601.279999999999</v>
      </c>
      <c r="N29" s="89">
        <f>+G29+K29+L29+M29</f>
        <v>2262883.2399999998</v>
      </c>
      <c r="O29" s="89">
        <f>+H29+K29+L29+M29</f>
        <v>2340893.1999999997</v>
      </c>
      <c r="P29" s="90">
        <f>(O29-N29)/N29</f>
        <v>3.4473700905575652E-2</v>
      </c>
      <c r="Q29" s="82"/>
      <c r="S29" s="40">
        <f>$S$20</f>
        <v>1500</v>
      </c>
      <c r="T29" s="25">
        <f>$T$17*E29</f>
        <v>1232970</v>
      </c>
      <c r="U29" s="25">
        <f>$U$17*($A$28*0.5)</f>
        <v>323000</v>
      </c>
      <c r="V29" s="25">
        <f>$V$17*$A$28</f>
        <v>473000.00000000006</v>
      </c>
      <c r="W29" s="25">
        <f>$W$17*$A$28</f>
        <v>170000</v>
      </c>
      <c r="X29" s="25">
        <f>S29+T29+U29+V29+W29</f>
        <v>2200470</v>
      </c>
      <c r="Y29" s="25"/>
      <c r="Z29" s="25"/>
      <c r="AC29" s="40">
        <f>$AC$20</f>
        <v>1499.96</v>
      </c>
      <c r="AD29" s="25">
        <f>$AD$17*E29</f>
        <v>1150480</v>
      </c>
      <c r="AE29" s="25">
        <f>$AE$17*($A$28*0.5)</f>
        <v>380500</v>
      </c>
      <c r="AF29" s="25">
        <f>$A$28*$AF$17</f>
        <v>566000</v>
      </c>
      <c r="AG29" s="25">
        <f>$A$28*$AG$17</f>
        <v>180000</v>
      </c>
      <c r="AH29" s="25">
        <f>AC29+AD29+AE29+AF29+AG29</f>
        <v>2278479.96</v>
      </c>
      <c r="AI29" s="25"/>
      <c r="AK29" s="40">
        <f>AH29-X29</f>
        <v>78009.959999999963</v>
      </c>
      <c r="AM29" s="137">
        <f>AH29/X29-1</f>
        <v>3.5451498997941311E-2</v>
      </c>
    </row>
    <row r="30" spans="1:39" x14ac:dyDescent="0.2">
      <c r="C30" s="136">
        <v>0.7</v>
      </c>
      <c r="E30" s="82">
        <f>C30*($A$28*730)</f>
        <v>51100000</v>
      </c>
      <c r="F30" s="82"/>
      <c r="G30" s="89">
        <f t="shared" si="0"/>
        <v>2693658</v>
      </c>
      <c r="H30" s="89">
        <f>+AH30</f>
        <v>2738671.96</v>
      </c>
      <c r="I30" s="89">
        <f>+H30-G30</f>
        <v>45013.959999999963</v>
      </c>
      <c r="J30" s="90">
        <f>ROUND(+I30/G30,4)</f>
        <v>1.67E-2</v>
      </c>
      <c r="K30" s="89">
        <f>ROUND($T$10*$E30,2)</f>
        <v>-29663.26</v>
      </c>
      <c r="L30" s="89">
        <f>ROUND($T$11*$E30,2)</f>
        <v>0</v>
      </c>
      <c r="M30" s="89">
        <f>ROUND($T$12*$E30,2)</f>
        <v>117041.79</v>
      </c>
      <c r="N30" s="89">
        <f>+G30+K30+L30+M30</f>
        <v>2781036.5300000003</v>
      </c>
      <c r="O30" s="89">
        <f>+H30+K30+L30+M30</f>
        <v>2826050.49</v>
      </c>
      <c r="P30" s="90">
        <f>(O30-N30)/N30</f>
        <v>1.6186036937817554E-2</v>
      </c>
      <c r="Q30" s="82"/>
      <c r="S30" s="40">
        <f>$S$20</f>
        <v>1500</v>
      </c>
      <c r="T30" s="25">
        <f>$T$17*E30</f>
        <v>1726157.9999999998</v>
      </c>
      <c r="U30" s="25">
        <f>$U$17*($A$28*0.5)</f>
        <v>323000</v>
      </c>
      <c r="V30" s="25">
        <f>$V$17*$A$28</f>
        <v>473000.00000000006</v>
      </c>
      <c r="W30" s="25">
        <f>$W$17*$A$28</f>
        <v>170000</v>
      </c>
      <c r="X30" s="25">
        <f>S30+T30+U30+V30+W30</f>
        <v>2693658</v>
      </c>
      <c r="Y30" s="25"/>
      <c r="Z30" s="25"/>
      <c r="AC30" s="40">
        <f>$AC$20</f>
        <v>1499.96</v>
      </c>
      <c r="AD30" s="25">
        <f>$AD$17*E30</f>
        <v>1610672</v>
      </c>
      <c r="AE30" s="25">
        <f>$AE$17*($A$28*0.5)</f>
        <v>380500</v>
      </c>
      <c r="AF30" s="25">
        <f>$A$28*$AF$17</f>
        <v>566000</v>
      </c>
      <c r="AG30" s="25">
        <f>$A$28*$AG$17</f>
        <v>180000</v>
      </c>
      <c r="AH30" s="25">
        <f>AC30+AD30+AE30+AF30+AG30</f>
        <v>2738671.96</v>
      </c>
      <c r="AI30" s="25"/>
      <c r="AK30" s="40">
        <f>AH30-X30</f>
        <v>45013.959999999963</v>
      </c>
      <c r="AM30" s="137">
        <f>AH30/X30-1</f>
        <v>1.6711089529554135E-2</v>
      </c>
    </row>
    <row r="31" spans="1:39" x14ac:dyDescent="0.2">
      <c r="C31" s="136"/>
      <c r="E31" s="82"/>
      <c r="F31" s="82"/>
      <c r="G31" s="89"/>
      <c r="H31" s="89"/>
      <c r="J31" s="233"/>
      <c r="K31" s="82"/>
      <c r="L31" s="82"/>
      <c r="M31" s="82"/>
      <c r="P31" s="90"/>
      <c r="Q31" s="82"/>
      <c r="S31" s="40"/>
      <c r="T31" s="25"/>
      <c r="U31" s="25"/>
      <c r="V31" s="25"/>
      <c r="W31" s="25"/>
      <c r="X31" s="25"/>
      <c r="Y31" s="25"/>
      <c r="AC31" s="40"/>
      <c r="AD31" s="25"/>
      <c r="AE31" s="25"/>
      <c r="AF31" s="25"/>
      <c r="AG31" s="25"/>
      <c r="AH31" s="25"/>
      <c r="AK31" s="84"/>
      <c r="AM31" s="84"/>
    </row>
    <row r="32" spans="1:39" x14ac:dyDescent="0.2">
      <c r="A32" s="82">
        <v>150000</v>
      </c>
      <c r="B32" s="82"/>
      <c r="C32" s="136">
        <v>0.3</v>
      </c>
      <c r="E32" s="82">
        <f>C32*($A$32*730)</f>
        <v>32850000</v>
      </c>
      <c r="F32" s="82"/>
      <c r="G32" s="89">
        <f t="shared" si="0"/>
        <v>2560173</v>
      </c>
      <c r="H32" s="89">
        <f>+AH32</f>
        <v>2726681.96</v>
      </c>
      <c r="I32" s="89">
        <f>+H32-G32</f>
        <v>166508.95999999996</v>
      </c>
      <c r="J32" s="90">
        <f>ROUND(+I32/G32,4)</f>
        <v>6.5000000000000002E-2</v>
      </c>
      <c r="K32" s="89">
        <f>ROUND($T$10*$E32,2)</f>
        <v>-19069.240000000002</v>
      </c>
      <c r="L32" s="89">
        <f>ROUND($T$11*$E32,2)</f>
        <v>0</v>
      </c>
      <c r="M32" s="89">
        <f>ROUND($T$12*$E32,2)</f>
        <v>75241.149999999994</v>
      </c>
      <c r="N32" s="89">
        <f>+G32+K32+L32+M32</f>
        <v>2616344.9099999997</v>
      </c>
      <c r="O32" s="89">
        <f>+H32+K32+L32+M32</f>
        <v>2782853.8699999996</v>
      </c>
      <c r="P32" s="90">
        <f>(O32-N32)/N32</f>
        <v>6.3641823126447034E-2</v>
      </c>
      <c r="Q32" s="82"/>
      <c r="S32" s="40">
        <f>$S$20</f>
        <v>1500</v>
      </c>
      <c r="T32" s="25">
        <f>$T$17*E32</f>
        <v>1109673</v>
      </c>
      <c r="U32" s="25">
        <f>$U$17*($A$32*0.5)</f>
        <v>484500</v>
      </c>
      <c r="V32" s="25">
        <f>$V$17*$A$32</f>
        <v>709500.00000000012</v>
      </c>
      <c r="W32" s="25">
        <f>$W$17*$A$32</f>
        <v>255000</v>
      </c>
      <c r="X32" s="25">
        <f>S32+T32+U32+V32+W32</f>
        <v>2560173</v>
      </c>
      <c r="Y32" s="25"/>
      <c r="Z32" s="25"/>
      <c r="AC32" s="40">
        <f>$AC$20</f>
        <v>1499.96</v>
      </c>
      <c r="AD32" s="25">
        <f>$AD$17*E32</f>
        <v>1035432</v>
      </c>
      <c r="AE32" s="25">
        <f>$AE$17*($A$32*0.5)</f>
        <v>570750</v>
      </c>
      <c r="AF32" s="25">
        <f>$A$32*$AF$17</f>
        <v>849000</v>
      </c>
      <c r="AG32" s="25">
        <f>$A$32*$AG$17</f>
        <v>270000</v>
      </c>
      <c r="AH32" s="25">
        <f>AC32+AD32+AE32+AF32+AG32</f>
        <v>2726681.96</v>
      </c>
      <c r="AI32" s="25"/>
      <c r="AK32" s="40">
        <f>AH32-X32</f>
        <v>166508.95999999996</v>
      </c>
      <c r="AM32" s="137">
        <f>AH32/X32-1</f>
        <v>6.5038167342597486E-2</v>
      </c>
    </row>
    <row r="33" spans="1:39" x14ac:dyDescent="0.2">
      <c r="C33" s="136">
        <v>0.5</v>
      </c>
      <c r="E33" s="82">
        <f>C33*($A$32*730)</f>
        <v>54750000</v>
      </c>
      <c r="F33" s="82"/>
      <c r="G33" s="89">
        <f t="shared" si="0"/>
        <v>3299955</v>
      </c>
      <c r="H33" s="89">
        <f>+AH33</f>
        <v>3416969.96</v>
      </c>
      <c r="I33" s="89">
        <f>+H33-G33</f>
        <v>117014.95999999996</v>
      </c>
      <c r="J33" s="90">
        <f>ROUND(+I33/G33,4)</f>
        <v>3.5499999999999997E-2</v>
      </c>
      <c r="K33" s="89">
        <f>ROUND($T$10*$E33,2)</f>
        <v>-31782.06</v>
      </c>
      <c r="L33" s="89">
        <f>ROUND($T$11*$E33,2)</f>
        <v>0</v>
      </c>
      <c r="M33" s="89">
        <f>ROUND($T$12*$E33,2)</f>
        <v>125401.92</v>
      </c>
      <c r="N33" s="89">
        <f>+G33+K33+L33+M33</f>
        <v>3393574.86</v>
      </c>
      <c r="O33" s="89">
        <f>+H33+K33+L33+M33</f>
        <v>3510589.82</v>
      </c>
      <c r="P33" s="90">
        <f>(O33-N33)/N33</f>
        <v>3.4481325689688772E-2</v>
      </c>
      <c r="Q33" s="82"/>
      <c r="S33" s="40">
        <f>$S$20</f>
        <v>1500</v>
      </c>
      <c r="T33" s="25">
        <f>$T$17*E33</f>
        <v>1849454.9999999998</v>
      </c>
      <c r="U33" s="25">
        <f>$U$17*($A$32*0.5)</f>
        <v>484500</v>
      </c>
      <c r="V33" s="25">
        <f>$V$17*$A$32</f>
        <v>709500.00000000012</v>
      </c>
      <c r="W33" s="25">
        <f>$W$17*$A$32</f>
        <v>255000</v>
      </c>
      <c r="X33" s="25">
        <f>S33+T33+U33+V33+W33</f>
        <v>3299955</v>
      </c>
      <c r="Y33" s="25"/>
      <c r="Z33" s="25"/>
      <c r="AC33" s="40">
        <f>$AC$20</f>
        <v>1499.96</v>
      </c>
      <c r="AD33" s="25">
        <f>$AD$17*E33</f>
        <v>1725720</v>
      </c>
      <c r="AE33" s="25">
        <f>$AE$17*($A$32*0.5)</f>
        <v>570750</v>
      </c>
      <c r="AF33" s="25">
        <f>$A$32*$AF$17</f>
        <v>849000</v>
      </c>
      <c r="AG33" s="25">
        <f>$A$32*$AG$17</f>
        <v>270000</v>
      </c>
      <c r="AH33" s="25">
        <f>AC33+AD33+AE33+AF33+AG33</f>
        <v>3416969.96</v>
      </c>
      <c r="AI33" s="25"/>
      <c r="AK33" s="40">
        <f>AH33-X33</f>
        <v>117014.95999999996</v>
      </c>
      <c r="AM33" s="137">
        <f>AH33/X33-1</f>
        <v>3.5459562327365024E-2</v>
      </c>
    </row>
    <row r="34" spans="1:39" x14ac:dyDescent="0.2">
      <c r="C34" s="136">
        <v>0.7</v>
      </c>
      <c r="E34" s="82">
        <f>C34*($A$32*730)</f>
        <v>76650000</v>
      </c>
      <c r="F34" s="82"/>
      <c r="G34" s="89">
        <f t="shared" si="0"/>
        <v>4039737</v>
      </c>
      <c r="H34" s="89">
        <f>+AH34</f>
        <v>4107257.96</v>
      </c>
      <c r="I34" s="89">
        <f>+H34-G34</f>
        <v>67520.959999999963</v>
      </c>
      <c r="J34" s="90">
        <f>ROUND(+I34/G34,4)</f>
        <v>1.67E-2</v>
      </c>
      <c r="K34" s="89">
        <f>ROUND($T$10*$E34,2)</f>
        <v>-44494.89</v>
      </c>
      <c r="L34" s="89">
        <f>ROUND($T$11*$E34,2)</f>
        <v>0</v>
      </c>
      <c r="M34" s="89">
        <f>ROUND($T$12*$E34,2)</f>
        <v>175562.69</v>
      </c>
      <c r="N34" s="89">
        <f>+G34+K34+L34+M34</f>
        <v>4170804.8</v>
      </c>
      <c r="O34" s="89">
        <f>+H34+K34+L34+M34</f>
        <v>4238325.7599999998</v>
      </c>
      <c r="P34" s="90">
        <f>(O34-N34)/N34</f>
        <v>1.6188952309635771E-2</v>
      </c>
      <c r="Q34" s="82"/>
      <c r="S34" s="40">
        <f>$S$20</f>
        <v>1500</v>
      </c>
      <c r="T34" s="25">
        <f>$T$17*E34</f>
        <v>2589237</v>
      </c>
      <c r="U34" s="25">
        <f>$U$17*($A$32*0.5)</f>
        <v>484500</v>
      </c>
      <c r="V34" s="25">
        <f>$V$17*$A$32</f>
        <v>709500.00000000012</v>
      </c>
      <c r="W34" s="25">
        <f>$W$17*$A$32</f>
        <v>255000</v>
      </c>
      <c r="X34" s="25">
        <f>S34+T34+U34+V34+W34</f>
        <v>4039737</v>
      </c>
      <c r="Y34" s="25"/>
      <c r="Z34" s="25"/>
      <c r="AC34" s="40">
        <f>$AC$20</f>
        <v>1499.96</v>
      </c>
      <c r="AD34" s="25">
        <f>$AD$17*E34</f>
        <v>2416008</v>
      </c>
      <c r="AE34" s="25">
        <f>$AE$17*($A$32*0.5)</f>
        <v>570750</v>
      </c>
      <c r="AF34" s="25">
        <f>$A$32*$AF$17</f>
        <v>849000</v>
      </c>
      <c r="AG34" s="25">
        <f>$A$32*$AG$17</f>
        <v>270000</v>
      </c>
      <c r="AH34" s="25">
        <f>AC34+AD34+AE34+AF34+AG34</f>
        <v>4107257.96</v>
      </c>
      <c r="AI34" s="25"/>
      <c r="AK34" s="40">
        <f>AH34-X34</f>
        <v>67520.959999999963</v>
      </c>
      <c r="AM34" s="137">
        <f>AH34/X34-1</f>
        <v>1.6714196988566243E-2</v>
      </c>
    </row>
    <row r="35" spans="1:39" x14ac:dyDescent="0.2">
      <c r="C35" s="136"/>
      <c r="E35" s="82"/>
      <c r="F35" s="82"/>
      <c r="G35" s="89"/>
      <c r="H35" s="89"/>
      <c r="J35" s="233"/>
      <c r="K35" s="82"/>
      <c r="L35" s="82"/>
      <c r="M35" s="82"/>
      <c r="P35" s="90"/>
      <c r="Q35" s="82"/>
      <c r="S35" s="40"/>
      <c r="T35" s="25"/>
      <c r="U35" s="25"/>
      <c r="V35" s="25"/>
      <c r="W35" s="25"/>
      <c r="X35" s="25"/>
      <c r="Y35" s="25"/>
      <c r="AC35" s="40"/>
      <c r="AD35" s="25"/>
      <c r="AE35" s="25"/>
      <c r="AF35" s="25"/>
      <c r="AG35" s="25"/>
      <c r="AH35" s="25"/>
      <c r="AK35" s="84"/>
      <c r="AM35" s="84"/>
    </row>
    <row r="36" spans="1:39" x14ac:dyDescent="0.2">
      <c r="A36" s="82">
        <v>200000</v>
      </c>
      <c r="B36" s="82"/>
      <c r="C36" s="136">
        <v>0.3</v>
      </c>
      <c r="E36" s="82">
        <f>C36*($A$36*730)</f>
        <v>43800000</v>
      </c>
      <c r="F36" s="82"/>
      <c r="G36" s="89">
        <f t="shared" si="0"/>
        <v>3413064</v>
      </c>
      <c r="H36" s="89">
        <f>+AH36</f>
        <v>3635075.96</v>
      </c>
      <c r="I36" s="89">
        <f>+H36-G36</f>
        <v>222011.95999999996</v>
      </c>
      <c r="J36" s="90">
        <f>ROUND(+I36/G36,4)</f>
        <v>6.5000000000000002E-2</v>
      </c>
      <c r="K36" s="89">
        <f>ROUND($T$10*$E36,2)</f>
        <v>-25425.65</v>
      </c>
      <c r="L36" s="89">
        <f>ROUND($T$11*$E36,2)</f>
        <v>0</v>
      </c>
      <c r="M36" s="89">
        <f>ROUND($T$12*$E36,2)</f>
        <v>100321.54</v>
      </c>
      <c r="N36" s="89">
        <f>+G36+K36+L36+M36</f>
        <v>3487959.89</v>
      </c>
      <c r="O36" s="89">
        <f>+H36+K36+L36+M36</f>
        <v>3709971.85</v>
      </c>
      <c r="P36" s="90">
        <f>(O36-N36)/N36</f>
        <v>6.3650949839334295E-2</v>
      </c>
      <c r="Q36" s="82"/>
      <c r="S36" s="40">
        <f>$S$20</f>
        <v>1500</v>
      </c>
      <c r="T36" s="25">
        <f>$T$17*E36</f>
        <v>1479564</v>
      </c>
      <c r="U36" s="25">
        <f>$U$17*($A$36*0.5)</f>
        <v>646000</v>
      </c>
      <c r="V36" s="25">
        <f>$V$17*$A$36</f>
        <v>946000.00000000012</v>
      </c>
      <c r="W36" s="25">
        <f>$W$17*$A$36</f>
        <v>340000</v>
      </c>
      <c r="X36" s="25">
        <f>S36+T36+U36+V36+W36</f>
        <v>3413064</v>
      </c>
      <c r="Y36" s="25"/>
      <c r="Z36" s="25"/>
      <c r="AC36" s="40">
        <f>$AC$20</f>
        <v>1499.96</v>
      </c>
      <c r="AD36" s="25">
        <f>$AD$17*E36</f>
        <v>1380576</v>
      </c>
      <c r="AE36" s="25">
        <f>$AE$17*($A$36*0.5)</f>
        <v>761000</v>
      </c>
      <c r="AF36" s="25">
        <f>$A$36*$AF$17</f>
        <v>1132000</v>
      </c>
      <c r="AG36" s="25">
        <f>$A$36*$AG$17</f>
        <v>360000</v>
      </c>
      <c r="AH36" s="25">
        <f>AC36+AD36+AE36+AF36+AG36</f>
        <v>3635075.96</v>
      </c>
      <c r="AI36" s="25"/>
      <c r="AK36" s="40">
        <f>AH36-X36</f>
        <v>222011.95999999996</v>
      </c>
      <c r="AM36" s="137">
        <f>AH36/X36-1</f>
        <v>6.5047699076255183E-2</v>
      </c>
    </row>
    <row r="37" spans="1:39" x14ac:dyDescent="0.2">
      <c r="C37" s="136">
        <v>0.5</v>
      </c>
      <c r="E37" s="82">
        <f>C37*($A$36*730)</f>
        <v>73000000</v>
      </c>
      <c r="F37" s="82"/>
      <c r="G37" s="89">
        <f t="shared" si="0"/>
        <v>4399440</v>
      </c>
      <c r="H37" s="89">
        <f>+AH37</f>
        <v>4555459.96</v>
      </c>
      <c r="I37" s="89">
        <f>+H37-G37</f>
        <v>156019.95999999996</v>
      </c>
      <c r="J37" s="90">
        <f>ROUND(+I37/G37,4)</f>
        <v>3.5499999999999997E-2</v>
      </c>
      <c r="K37" s="89">
        <f>ROUND($T$10*$E37,2)</f>
        <v>-42376.09</v>
      </c>
      <c r="L37" s="89">
        <f>ROUND($T$11*$E37,2)</f>
        <v>0</v>
      </c>
      <c r="M37" s="89">
        <f>ROUND($T$12*$E37,2)</f>
        <v>167202.56</v>
      </c>
      <c r="N37" s="89">
        <f>+G37+K37+L37+M37</f>
        <v>4524266.47</v>
      </c>
      <c r="O37" s="89">
        <f>+H37+K37+L37+M37</f>
        <v>4680286.43</v>
      </c>
      <c r="P37" s="90">
        <f>(O37-N37)/N37</f>
        <v>3.4485139421949203E-2</v>
      </c>
      <c r="Q37" s="82"/>
      <c r="S37" s="40">
        <f>$S$20</f>
        <v>1500</v>
      </c>
      <c r="T37" s="25">
        <f>$T$17*E37</f>
        <v>2465940</v>
      </c>
      <c r="U37" s="25">
        <f>$U$17*($A$36*0.5)</f>
        <v>646000</v>
      </c>
      <c r="V37" s="25">
        <f>$V$17*$A$36</f>
        <v>946000.00000000012</v>
      </c>
      <c r="W37" s="25">
        <f>$W$17*$A$36</f>
        <v>340000</v>
      </c>
      <c r="X37" s="25">
        <f>S37+T37+U37+V37+W37</f>
        <v>4399440</v>
      </c>
      <c r="Y37" s="25"/>
      <c r="Z37" s="25"/>
      <c r="AC37" s="40">
        <f>$AC$20</f>
        <v>1499.96</v>
      </c>
      <c r="AD37" s="25">
        <f>$AD$17*E37</f>
        <v>2300960</v>
      </c>
      <c r="AE37" s="25">
        <f>$AE$17*($A$36*0.5)</f>
        <v>761000</v>
      </c>
      <c r="AF37" s="25">
        <f>$A$36*$AF$17</f>
        <v>1132000</v>
      </c>
      <c r="AG37" s="25">
        <f>$A$36*$AG$17</f>
        <v>360000</v>
      </c>
      <c r="AH37" s="25">
        <f>AC37+AD37+AE37+AF37+AG37</f>
        <v>4555459.96</v>
      </c>
      <c r="AI37" s="25"/>
      <c r="AK37" s="40">
        <f>AH37-X37</f>
        <v>156019.95999999996</v>
      </c>
      <c r="AM37" s="137">
        <f>AH37/X37-1</f>
        <v>3.5463595366683087E-2</v>
      </c>
    </row>
    <row r="38" spans="1:39" x14ac:dyDescent="0.2">
      <c r="C38" s="136">
        <v>0.7</v>
      </c>
      <c r="E38" s="82">
        <f>C38*($A$36*730)</f>
        <v>102200000</v>
      </c>
      <c r="F38" s="82"/>
      <c r="G38" s="89">
        <f t="shared" si="0"/>
        <v>5385816</v>
      </c>
      <c r="H38" s="89">
        <f>+AH38</f>
        <v>5475843.96</v>
      </c>
      <c r="I38" s="89">
        <f>+H38-G38</f>
        <v>90027.959999999963</v>
      </c>
      <c r="J38" s="90">
        <f>ROUND(+I38/G38,4)</f>
        <v>1.67E-2</v>
      </c>
      <c r="K38" s="89">
        <f>ROUND($T$10*$E38,2)</f>
        <v>-59326.52</v>
      </c>
      <c r="L38" s="89">
        <f>ROUND($T$11*$E38,2)</f>
        <v>0</v>
      </c>
      <c r="M38" s="89">
        <f>ROUND($T$12*$E38,2)</f>
        <v>234083.58</v>
      </c>
      <c r="N38" s="89">
        <f>+G38+K38+L38+M38</f>
        <v>5560573.0600000005</v>
      </c>
      <c r="O38" s="89">
        <f>+H38+K38+L38+M38</f>
        <v>5650601.0200000005</v>
      </c>
      <c r="P38" s="90">
        <f>(O38-N38)/N38</f>
        <v>1.6190410417878755E-2</v>
      </c>
      <c r="Q38" s="82"/>
      <c r="S38" s="40">
        <f>$S$20</f>
        <v>1500</v>
      </c>
      <c r="T38" s="25">
        <f>$T$17*E38</f>
        <v>3452315.9999999995</v>
      </c>
      <c r="U38" s="25">
        <f>$U$17*($A$36*0.5)</f>
        <v>646000</v>
      </c>
      <c r="V38" s="25">
        <f>$V$17*$A$36</f>
        <v>946000.00000000012</v>
      </c>
      <c r="W38" s="25">
        <f>$W$17*$A$36</f>
        <v>340000</v>
      </c>
      <c r="X38" s="25">
        <f>S38+T38+U38+V38+W38</f>
        <v>5385816</v>
      </c>
      <c r="Y38" s="25"/>
      <c r="Z38" s="25"/>
      <c r="AC38" s="40">
        <f>$AC$20</f>
        <v>1499.96</v>
      </c>
      <c r="AD38" s="25">
        <f>$AD$17*E38</f>
        <v>3221344</v>
      </c>
      <c r="AE38" s="25">
        <f>$AE$17*($A$36*0.5)</f>
        <v>761000</v>
      </c>
      <c r="AF38" s="25">
        <f>$A$36*$AF$17</f>
        <v>1132000</v>
      </c>
      <c r="AG38" s="25">
        <f>$A$36*$AG$17</f>
        <v>360000</v>
      </c>
      <c r="AH38" s="25">
        <f>AC38+AD38+AE38+AF38+AG38</f>
        <v>5475843.96</v>
      </c>
      <c r="AI38" s="25"/>
      <c r="AK38" s="40">
        <f>AH38-X38</f>
        <v>90027.959999999963</v>
      </c>
      <c r="AM38" s="137">
        <f>AH38/X38-1</f>
        <v>1.6715751150800484E-2</v>
      </c>
    </row>
    <row r="39" spans="1:39" x14ac:dyDescent="0.2">
      <c r="T39" s="25"/>
      <c r="U39" s="25"/>
      <c r="V39" s="25"/>
      <c r="W39" s="25"/>
      <c r="X39" s="25"/>
      <c r="Y39" s="25"/>
      <c r="AE39" s="25"/>
    </row>
    <row r="40" spans="1:39" x14ac:dyDescent="0.2">
      <c r="A40" s="17" t="s">
        <v>314</v>
      </c>
      <c r="T40" s="25"/>
      <c r="U40" s="25"/>
      <c r="V40" s="25"/>
      <c r="W40" s="25"/>
      <c r="X40" s="25"/>
      <c r="Y40" s="25"/>
    </row>
    <row r="41" spans="1:39" x14ac:dyDescent="0.2">
      <c r="A41" s="170" t="str">
        <f>("Average usage = "&amp;INPUT!L20&amp;" kWh per month")</f>
        <v>Average usage = 0 kWh per month</v>
      </c>
      <c r="G41" s="88" t="s">
        <v>317</v>
      </c>
      <c r="T41" s="25"/>
      <c r="U41" s="25"/>
      <c r="V41" s="25"/>
      <c r="W41" s="25"/>
      <c r="X41" s="25"/>
      <c r="Y41" s="25"/>
    </row>
    <row r="42" spans="1:39" x14ac:dyDescent="0.2">
      <c r="A42" s="172" t="s">
        <v>504</v>
      </c>
      <c r="C42" s="136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AE42" s="138"/>
      <c r="AF42" s="25"/>
      <c r="AG42" s="25"/>
      <c r="AH42" s="25"/>
      <c r="AI42" s="25"/>
      <c r="AJ42" s="25"/>
      <c r="AK42" s="84"/>
    </row>
    <row r="43" spans="1:39" x14ac:dyDescent="0.2">
      <c r="A43" s="171" t="s">
        <v>318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T43" s="139"/>
      <c r="AE43" s="140"/>
    </row>
    <row r="44" spans="1:39" x14ac:dyDescent="0.2">
      <c r="A44" s="174" t="s">
        <v>127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AA44" s="86"/>
      <c r="AB44" s="83"/>
      <c r="AC44" s="86"/>
      <c r="AE44" s="86"/>
    </row>
    <row r="45" spans="1:39" x14ac:dyDescent="0.2">
      <c r="A45" s="174" t="str">
        <f>+'Rate Case Constants'!C26</f>
        <v>Calculations may vary from other schedules due to rounding</v>
      </c>
      <c r="AE45" s="140"/>
    </row>
    <row r="46" spans="1:39" x14ac:dyDescent="0.2">
      <c r="A46" s="174" t="s">
        <v>128</v>
      </c>
      <c r="S46" s="86"/>
      <c r="W46" s="86"/>
      <c r="AA46" s="86"/>
      <c r="AE46" s="140"/>
    </row>
    <row r="47" spans="1:39" x14ac:dyDescent="0.2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AA47" s="86"/>
      <c r="AB47" s="83"/>
      <c r="AC47" s="86"/>
      <c r="AE47" s="86"/>
    </row>
    <row r="48" spans="1:39" x14ac:dyDescent="0.2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A48" s="86"/>
      <c r="AB48" s="83"/>
      <c r="AC48" s="86"/>
      <c r="AE48" s="86"/>
    </row>
    <row r="49" spans="5:31" x14ac:dyDescent="0.2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T49" s="86"/>
      <c r="U49" s="86"/>
      <c r="V49" s="86"/>
      <c r="W49" s="86"/>
      <c r="X49" s="86"/>
      <c r="Y49" s="86"/>
    </row>
    <row r="50" spans="5:31" x14ac:dyDescent="0.2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S50" s="40"/>
      <c r="T50" s="139"/>
      <c r="W50" s="139"/>
      <c r="X50" s="139"/>
      <c r="Y50" s="139"/>
      <c r="AA50" s="84"/>
      <c r="AC50" s="84"/>
      <c r="AE50" s="140"/>
    </row>
    <row r="51" spans="5:31" x14ac:dyDescent="0.2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S51" s="40"/>
      <c r="T51" s="139"/>
      <c r="W51" s="139"/>
      <c r="X51" s="139"/>
      <c r="Y51" s="139"/>
      <c r="AA51" s="84"/>
      <c r="AC51" s="84"/>
      <c r="AE51" s="140"/>
    </row>
    <row r="52" spans="5:31" x14ac:dyDescent="0.2"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S52" s="40"/>
      <c r="T52" s="139"/>
      <c r="W52" s="139"/>
      <c r="X52" s="139"/>
      <c r="Y52" s="139"/>
      <c r="AA52" s="84"/>
      <c r="AC52" s="84"/>
      <c r="AE52" s="140"/>
    </row>
    <row r="53" spans="5:31" x14ac:dyDescent="0.2"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S53" s="40"/>
      <c r="T53" s="139"/>
      <c r="W53" s="139"/>
      <c r="X53" s="139"/>
      <c r="Y53" s="139"/>
      <c r="AA53" s="84"/>
      <c r="AB53" s="107"/>
      <c r="AC53" s="84"/>
      <c r="AD53" s="107"/>
      <c r="AE53" s="140"/>
    </row>
    <row r="54" spans="5:31" ht="6.75" customHeight="1" x14ac:dyDescent="0.2"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S54" s="40"/>
      <c r="T54" s="139"/>
      <c r="W54" s="139"/>
      <c r="X54" s="139"/>
      <c r="Y54" s="139"/>
      <c r="AA54" s="84"/>
      <c r="AB54" s="107"/>
      <c r="AC54" s="84"/>
      <c r="AD54" s="107"/>
      <c r="AE54" s="140"/>
    </row>
    <row r="55" spans="5:31" x14ac:dyDescent="0.2"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S55" s="40"/>
      <c r="T55" s="139"/>
      <c r="W55" s="139"/>
      <c r="X55" s="139"/>
      <c r="Y55" s="139"/>
      <c r="AA55" s="84"/>
      <c r="AC55" s="84"/>
      <c r="AE55" s="140"/>
    </row>
    <row r="56" spans="5:31" x14ac:dyDescent="0.2"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S56" s="40"/>
      <c r="T56" s="139"/>
      <c r="W56" s="139"/>
      <c r="X56" s="139"/>
      <c r="Y56" s="139"/>
      <c r="AA56" s="84"/>
      <c r="AC56" s="84"/>
      <c r="AE56" s="140"/>
    </row>
    <row r="57" spans="5:31" x14ac:dyDescent="0.2"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S57" s="40"/>
      <c r="T57" s="139"/>
      <c r="W57" s="139"/>
      <c r="X57" s="139"/>
      <c r="Y57" s="139"/>
      <c r="AA57" s="84"/>
      <c r="AC57" s="84"/>
      <c r="AE57" s="140"/>
    </row>
    <row r="58" spans="5:31" x14ac:dyDescent="0.2"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S58" s="40"/>
      <c r="T58" s="139"/>
      <c r="W58" s="139"/>
      <c r="X58" s="139"/>
      <c r="Y58" s="139"/>
      <c r="AA58" s="84"/>
      <c r="AC58" s="84"/>
      <c r="AE58" s="140"/>
    </row>
    <row r="59" spans="5:31" x14ac:dyDescent="0.2"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S59" s="40"/>
      <c r="T59" s="139"/>
      <c r="W59" s="139"/>
      <c r="X59" s="139"/>
      <c r="Y59" s="139"/>
      <c r="AA59" s="84"/>
      <c r="AC59" s="84"/>
      <c r="AE59" s="140"/>
    </row>
    <row r="60" spans="5:31" ht="6.75" customHeight="1" x14ac:dyDescent="0.2"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S60" s="40"/>
      <c r="T60" s="139"/>
      <c r="W60" s="139"/>
      <c r="X60" s="139"/>
      <c r="Y60" s="139"/>
      <c r="AA60" s="84"/>
      <c r="AC60" s="84"/>
      <c r="AE60" s="140"/>
    </row>
    <row r="61" spans="5:31" x14ac:dyDescent="0.2"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S61" s="40"/>
      <c r="T61" s="139"/>
      <c r="W61" s="139"/>
      <c r="X61" s="139"/>
      <c r="Y61" s="139"/>
      <c r="AA61" s="84"/>
      <c r="AC61" s="84"/>
      <c r="AE61" s="140"/>
    </row>
    <row r="62" spans="5:31" x14ac:dyDescent="0.2"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S62" s="40"/>
      <c r="T62" s="139"/>
      <c r="W62" s="139"/>
      <c r="X62" s="139"/>
      <c r="Y62" s="139"/>
      <c r="AA62" s="84"/>
      <c r="AC62" s="84"/>
      <c r="AE62" s="140"/>
    </row>
    <row r="63" spans="5:31" x14ac:dyDescent="0.2"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S63" s="40"/>
      <c r="T63" s="139"/>
      <c r="W63" s="139"/>
      <c r="X63" s="139"/>
      <c r="Y63" s="139"/>
      <c r="AA63" s="84"/>
      <c r="AC63" s="84"/>
      <c r="AE63" s="140"/>
    </row>
    <row r="64" spans="5:31" x14ac:dyDescent="0.2"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S64" s="40"/>
      <c r="T64" s="139"/>
      <c r="W64" s="139"/>
      <c r="X64" s="139"/>
      <c r="Y64" s="139"/>
      <c r="AA64" s="84"/>
      <c r="AC64" s="84"/>
      <c r="AE64" s="140"/>
    </row>
    <row r="65" spans="5:35" x14ac:dyDescent="0.2"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T65" s="86"/>
      <c r="U65" s="86"/>
      <c r="V65" s="86"/>
      <c r="W65" s="86"/>
      <c r="X65" s="86"/>
      <c r="Y65" s="86"/>
    </row>
    <row r="66" spans="5:35" x14ac:dyDescent="0.2"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T66" s="86"/>
      <c r="U66" s="86"/>
      <c r="V66" s="86"/>
      <c r="W66" s="86"/>
      <c r="X66" s="86"/>
      <c r="Y66" s="86"/>
    </row>
    <row r="67" spans="5:35" x14ac:dyDescent="0.2"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AE67" s="140"/>
    </row>
    <row r="68" spans="5:35" x14ac:dyDescent="0.2">
      <c r="AH68" s="141"/>
      <c r="AI68" s="141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75" right="0.75" top="1.5" bottom="0.5" header="1" footer="0.5"/>
  <pageSetup scale="7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ColWidth="9.140625" defaultRowHeight="12.75" x14ac:dyDescent="0.2"/>
  <cols>
    <col min="1" max="1" width="10.42578125" style="17" customWidth="1"/>
    <col min="2" max="2" width="3.7109375" style="17" customWidth="1"/>
    <col min="3" max="3" width="6.5703125" style="17" customWidth="1"/>
    <col min="4" max="4" width="1.85546875" style="17" customWidth="1"/>
    <col min="5" max="5" width="12" style="17" bestFit="1" customWidth="1"/>
    <col min="6" max="6" width="2" style="17" customWidth="1"/>
    <col min="7" max="7" width="15.140625" style="17" bestFit="1" customWidth="1"/>
    <col min="8" max="8" width="14.7109375" style="17" customWidth="1"/>
    <col min="9" max="9" width="14.85546875" style="17" customWidth="1"/>
    <col min="10" max="10" width="9.85546875" style="17" customWidth="1"/>
    <col min="11" max="11" width="13.42578125" style="17" bestFit="1" customWidth="1"/>
    <col min="12" max="12" width="10.140625" style="17" customWidth="1"/>
    <col min="13" max="13" width="13.42578125" style="17" bestFit="1" customWidth="1"/>
    <col min="14" max="15" width="15.140625" style="17" bestFit="1" customWidth="1"/>
    <col min="16" max="18" width="9.85546875" style="17" customWidth="1"/>
    <col min="19" max="19" width="10" style="17" customWidth="1"/>
    <col min="20" max="20" width="14.42578125" style="17" bestFit="1" customWidth="1"/>
    <col min="21" max="21" width="12.7109375" style="17" bestFit="1" customWidth="1"/>
    <col min="22" max="22" width="13.85546875" style="17" bestFit="1" customWidth="1"/>
    <col min="23" max="23" width="12.7109375" style="17" bestFit="1" customWidth="1"/>
    <col min="24" max="24" width="14.42578125" style="17" bestFit="1" customWidth="1"/>
    <col min="25" max="25" width="3.140625" style="17" customWidth="1"/>
    <col min="26" max="26" width="14.42578125" style="17" customWidth="1"/>
    <col min="27" max="27" width="3.85546875" style="17" customWidth="1"/>
    <col min="28" max="28" width="2.42578125" style="17" customWidth="1"/>
    <col min="29" max="30" width="14.42578125" style="17" bestFit="1" customWidth="1"/>
    <col min="31" max="31" width="12.7109375" style="17" bestFit="1" customWidth="1"/>
    <col min="32" max="32" width="13.85546875" style="17" bestFit="1" customWidth="1"/>
    <col min="33" max="33" width="12.7109375" style="17" bestFit="1" customWidth="1"/>
    <col min="34" max="35" width="14.42578125" style="17" bestFit="1" customWidth="1"/>
    <col min="36" max="36" width="11.140625" style="17" customWidth="1"/>
    <col min="37" max="37" width="11.42578125" style="17" bestFit="1" customWidth="1"/>
    <col min="38" max="38" width="10.7109375" style="17" customWidth="1"/>
    <col min="39" max="39" width="11.42578125" style="17" bestFit="1" customWidth="1"/>
    <col min="40" max="16384" width="9.140625" style="17"/>
  </cols>
  <sheetData>
    <row r="1" spans="1:39" x14ac:dyDescent="0.2">
      <c r="A1" s="426" t="str">
        <f>+'Rate Case Constants'!C9</f>
        <v>LOUISVILLE GAS AND ELECTRIC COMPANY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39" x14ac:dyDescent="0.2">
      <c r="A2" s="426" t="str">
        <f>+'Rate Case Constants'!C10</f>
        <v>CASE NO. 2018-00295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39" x14ac:dyDescent="0.2">
      <c r="A3" s="428" t="str">
        <f>+'Rate Case Constants'!C24</f>
        <v>Typical Bill Comparison under Present &amp; Proposed Rates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39" x14ac:dyDescent="0.2">
      <c r="A4" s="426" t="str">
        <f>+'Rate Case Constants'!C21</f>
        <v>FORECAST PERIOD FOR THE 12 MONTHS ENDED APRIL 30, 2020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</row>
    <row r="5" spans="1:39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9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39" x14ac:dyDescent="0.2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235" t="str">
        <f>+'Rate Case Constants'!C25</f>
        <v>SCHEDULE N</v>
      </c>
    </row>
    <row r="8" spans="1:39" x14ac:dyDescent="0.2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36"/>
      <c r="M8" s="83"/>
      <c r="N8" s="83"/>
      <c r="O8" s="83"/>
      <c r="P8" s="236" t="str">
        <f>+'Rate Case Constants'!L19</f>
        <v>PAGE 12 of 26</v>
      </c>
    </row>
    <row r="9" spans="1:39" x14ac:dyDescent="0.2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36" t="str">
        <f>+'Rate Case Constants'!C36</f>
        <v>WITNESS:   R. M. CONROY</v>
      </c>
      <c r="T9" s="17" t="s">
        <v>503</v>
      </c>
    </row>
    <row r="10" spans="1:39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S10" s="83" t="s">
        <v>70</v>
      </c>
      <c r="T10" s="17">
        <f>INPUT!G61</f>
        <v>-5.8049431987428101E-4</v>
      </c>
    </row>
    <row r="11" spans="1:39" x14ac:dyDescent="0.2">
      <c r="A11" s="182" t="s">
        <v>342</v>
      </c>
      <c r="S11" s="83" t="s">
        <v>72</v>
      </c>
      <c r="T11" s="17">
        <f>INPUT!H61</f>
        <v>0</v>
      </c>
      <c r="V11" s="132" t="s">
        <v>128</v>
      </c>
      <c r="AD11" s="132" t="s">
        <v>128</v>
      </c>
    </row>
    <row r="12" spans="1:39" x14ac:dyDescent="0.2"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 t="s">
        <v>71</v>
      </c>
      <c r="T12" s="17">
        <f>INPUT!I61</f>
        <v>2.2904460360449203E-3</v>
      </c>
    </row>
    <row r="13" spans="1:39" x14ac:dyDescent="0.2">
      <c r="A13" s="85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U13" s="86" t="s">
        <v>1</v>
      </c>
      <c r="V13" s="86" t="s">
        <v>1</v>
      </c>
      <c r="W13" s="86" t="s">
        <v>1</v>
      </c>
      <c r="Z13" s="86" t="s">
        <v>71</v>
      </c>
      <c r="AD13" s="25"/>
      <c r="AE13" s="133" t="s">
        <v>9</v>
      </c>
      <c r="AF13" s="133" t="s">
        <v>9</v>
      </c>
      <c r="AG13" s="133" t="s">
        <v>9</v>
      </c>
      <c r="AH13" s="25"/>
      <c r="AI13" s="86" t="s">
        <v>71</v>
      </c>
    </row>
    <row r="14" spans="1:39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86" t="s">
        <v>1</v>
      </c>
      <c r="T14" s="86" t="s">
        <v>1</v>
      </c>
      <c r="U14" s="86" t="s">
        <v>34</v>
      </c>
      <c r="V14" s="86" t="s">
        <v>30</v>
      </c>
      <c r="W14" s="86" t="s">
        <v>22</v>
      </c>
      <c r="X14" s="86" t="s">
        <v>1</v>
      </c>
      <c r="Y14" s="86"/>
      <c r="Z14" s="86" t="s">
        <v>1</v>
      </c>
      <c r="AC14" s="86" t="s">
        <v>9</v>
      </c>
      <c r="AD14" s="86" t="s">
        <v>9</v>
      </c>
      <c r="AE14" s="133" t="s">
        <v>34</v>
      </c>
      <c r="AF14" s="133" t="s">
        <v>30</v>
      </c>
      <c r="AG14" s="133" t="s">
        <v>22</v>
      </c>
      <c r="AH14" s="133" t="s">
        <v>9</v>
      </c>
      <c r="AI14" s="86" t="s">
        <v>1</v>
      </c>
      <c r="AK14" s="86"/>
    </row>
    <row r="15" spans="1:39" x14ac:dyDescent="0.2">
      <c r="C15" s="86" t="s">
        <v>23</v>
      </c>
      <c r="E15" s="86"/>
      <c r="F15" s="86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86"/>
      <c r="R15" s="86"/>
      <c r="S15" s="86" t="s">
        <v>2</v>
      </c>
      <c r="T15" s="86" t="s">
        <v>57</v>
      </c>
      <c r="U15" s="86" t="s">
        <v>25</v>
      </c>
      <c r="V15" s="86" t="s">
        <v>25</v>
      </c>
      <c r="W15" s="86" t="s">
        <v>18</v>
      </c>
      <c r="X15" s="86" t="s">
        <v>5</v>
      </c>
      <c r="Y15" s="86"/>
      <c r="Z15" s="86" t="s">
        <v>75</v>
      </c>
      <c r="AC15" s="87" t="s">
        <v>56</v>
      </c>
      <c r="AD15" s="86" t="s">
        <v>57</v>
      </c>
      <c r="AE15" s="133" t="s">
        <v>25</v>
      </c>
      <c r="AF15" s="133" t="s">
        <v>25</v>
      </c>
      <c r="AG15" s="133" t="s">
        <v>18</v>
      </c>
      <c r="AH15" s="133" t="s">
        <v>5</v>
      </c>
      <c r="AI15" s="86" t="s">
        <v>75</v>
      </c>
      <c r="AK15" s="86" t="s">
        <v>6</v>
      </c>
      <c r="AL15" s="86"/>
      <c r="AM15" s="86" t="s">
        <v>8</v>
      </c>
    </row>
    <row r="16" spans="1:39" x14ac:dyDescent="0.2">
      <c r="A16" s="86" t="s">
        <v>26</v>
      </c>
      <c r="C16" s="86" t="s">
        <v>24</v>
      </c>
      <c r="E16" s="86" t="s">
        <v>0</v>
      </c>
      <c r="F16" s="86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86"/>
      <c r="R16" s="86"/>
      <c r="S16" s="87" t="s">
        <v>3</v>
      </c>
      <c r="T16" s="86" t="s">
        <v>3</v>
      </c>
      <c r="U16" s="86" t="s">
        <v>3</v>
      </c>
      <c r="V16" s="86" t="s">
        <v>3</v>
      </c>
      <c r="W16" s="86" t="s">
        <v>3</v>
      </c>
      <c r="X16" s="86" t="s">
        <v>4</v>
      </c>
      <c r="Y16" s="86"/>
      <c r="Z16" s="86" t="s">
        <v>3</v>
      </c>
      <c r="AC16" s="87" t="s">
        <v>3</v>
      </c>
      <c r="AD16" s="86" t="s">
        <v>3</v>
      </c>
      <c r="AE16" s="133" t="s">
        <v>3</v>
      </c>
      <c r="AF16" s="133" t="s">
        <v>3</v>
      </c>
      <c r="AG16" s="133" t="s">
        <v>3</v>
      </c>
      <c r="AH16" s="133" t="s">
        <v>4</v>
      </c>
      <c r="AI16" s="86" t="s">
        <v>3</v>
      </c>
      <c r="AK16" s="86" t="s">
        <v>7</v>
      </c>
      <c r="AL16" s="86"/>
      <c r="AM16" s="86" t="s">
        <v>7</v>
      </c>
    </row>
    <row r="17" spans="1:39" x14ac:dyDescent="0.2">
      <c r="A17" s="86"/>
      <c r="C17" s="86"/>
      <c r="E17" s="86"/>
      <c r="F17" s="86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86"/>
      <c r="R17" s="86"/>
      <c r="S17" s="87"/>
      <c r="T17" s="134">
        <f>+INPUT!$M$6</f>
        <v>3.5049999999999998E-2</v>
      </c>
      <c r="U17" s="135">
        <f>+INPUT!$M$14</f>
        <v>6.39</v>
      </c>
      <c r="V17" s="135">
        <f>+INPUT!$M$15</f>
        <v>4.67</v>
      </c>
      <c r="W17" s="135">
        <f>+INPUT!$M$16</f>
        <v>3.11</v>
      </c>
      <c r="X17" s="86"/>
      <c r="Y17" s="86"/>
      <c r="Z17" s="134"/>
      <c r="AC17" s="87"/>
      <c r="AD17" s="134">
        <f>+INPUT!$M$28</f>
        <v>3.193E-2</v>
      </c>
      <c r="AE17" s="135">
        <f>+INPUT!$M$35</f>
        <v>7.8</v>
      </c>
      <c r="AF17" s="135">
        <f>+INPUT!$M$36</f>
        <v>5.8</v>
      </c>
      <c r="AG17" s="135">
        <f>+INPUT!$M$37</f>
        <v>3.24</v>
      </c>
      <c r="AH17" s="133"/>
      <c r="AI17" s="134"/>
      <c r="AK17" s="86"/>
      <c r="AL17" s="86"/>
      <c r="AM17" s="86"/>
    </row>
    <row r="18" spans="1:39" x14ac:dyDescent="0.2">
      <c r="A18" s="177"/>
      <c r="B18" s="177"/>
      <c r="C18" s="97"/>
      <c r="D18" s="177"/>
      <c r="E18" s="97"/>
      <c r="F18" s="97"/>
      <c r="G18" s="234"/>
      <c r="H18" s="234"/>
      <c r="I18" s="234" t="str">
        <f>("[ "&amp;H13&amp;" - "&amp;G13&amp;" ]")</f>
        <v>[ B - A ]</v>
      </c>
      <c r="J18" s="234" t="str">
        <f>("[ "&amp;I13&amp;" / "&amp;G13&amp;" ]")</f>
        <v>[ C / A ]</v>
      </c>
      <c r="K18" s="262"/>
      <c r="L18" s="262"/>
      <c r="M18" s="262"/>
      <c r="N18" s="234" t="str">
        <f>("["&amp;G13&amp;"+"&amp;$K$13&amp;"+"&amp;$L$13&amp;"+"&amp;$M$13&amp;"]")</f>
        <v>[A+E+F+G]</v>
      </c>
      <c r="O18" s="234" t="str">
        <f>("["&amp;H13&amp;"+"&amp;$K$13&amp;"+"&amp;$L$13&amp;"+"&amp;$M$13&amp;"]")</f>
        <v>[B+E+F+G]</v>
      </c>
      <c r="P18" s="234" t="str">
        <f>("[("&amp;O13&amp;" - "&amp;N13&amp;")/"&amp;N13&amp;"]")</f>
        <v>[(I - H)/H]</v>
      </c>
      <c r="Q18" s="86"/>
      <c r="R18" s="86"/>
      <c r="T18" s="86" t="s">
        <v>14</v>
      </c>
      <c r="U18" s="86" t="s">
        <v>59</v>
      </c>
      <c r="V18" s="86" t="s">
        <v>59</v>
      </c>
      <c r="W18" s="86" t="s">
        <v>59</v>
      </c>
      <c r="X18" s="86"/>
      <c r="Y18" s="86"/>
      <c r="Z18" s="86" t="s">
        <v>14</v>
      </c>
      <c r="AC18" s="87"/>
      <c r="AD18" s="86" t="s">
        <v>14</v>
      </c>
      <c r="AE18" s="86" t="s">
        <v>59</v>
      </c>
      <c r="AF18" s="86" t="s">
        <v>59</v>
      </c>
      <c r="AG18" s="86" t="s">
        <v>59</v>
      </c>
      <c r="AH18" s="133"/>
      <c r="AI18" s="86" t="s">
        <v>14</v>
      </c>
      <c r="AK18" s="86"/>
      <c r="AL18" s="86"/>
      <c r="AM18" s="86"/>
    </row>
    <row r="19" spans="1:39" x14ac:dyDescent="0.2">
      <c r="C19" s="86"/>
      <c r="E19" s="86"/>
      <c r="F19" s="86"/>
      <c r="G19" s="3"/>
      <c r="H19" s="3"/>
      <c r="I19" s="164"/>
      <c r="J19" s="164"/>
      <c r="K19" s="3"/>
      <c r="L19" s="3"/>
      <c r="M19" s="3"/>
      <c r="N19" s="164"/>
      <c r="O19" s="3"/>
      <c r="P19" s="164"/>
      <c r="Q19" s="86"/>
      <c r="R19" s="86"/>
      <c r="U19" s="86"/>
      <c r="V19" s="86"/>
      <c r="W19" s="86"/>
      <c r="X19" s="86"/>
      <c r="Y19" s="86"/>
      <c r="AC19" s="87"/>
      <c r="AD19" s="86"/>
      <c r="AE19" s="133"/>
      <c r="AF19" s="133"/>
      <c r="AG19" s="133"/>
      <c r="AH19" s="133"/>
      <c r="AK19" s="86"/>
      <c r="AL19" s="86"/>
      <c r="AM19" s="86"/>
    </row>
    <row r="20" spans="1:39" x14ac:dyDescent="0.2">
      <c r="A20" s="82">
        <v>50000</v>
      </c>
      <c r="B20" s="82"/>
      <c r="C20" s="136">
        <v>0.3</v>
      </c>
      <c r="E20" s="82">
        <f>C20*($A$20*730)</f>
        <v>10950000</v>
      </c>
      <c r="F20" s="82"/>
      <c r="G20" s="89">
        <f>+X20</f>
        <v>932877.5</v>
      </c>
      <c r="H20" s="89">
        <f>+AH20</f>
        <v>996963.4425</v>
      </c>
      <c r="I20" s="89">
        <f>+H20-G20</f>
        <v>64085.942500000005</v>
      </c>
      <c r="J20" s="90">
        <f>ROUND(+I20/G20,4)</f>
        <v>6.8699999999999997E-2</v>
      </c>
      <c r="K20" s="89">
        <f>ROUND($T$10*$E20,2)</f>
        <v>-6356.41</v>
      </c>
      <c r="L20" s="89">
        <f>ROUND($T$11*$E20,2)</f>
        <v>0</v>
      </c>
      <c r="M20" s="89">
        <f>ROUND($T$12*$E20,2)</f>
        <v>25080.38</v>
      </c>
      <c r="N20" s="89">
        <f>+G20+K20+L20+M20</f>
        <v>951601.47</v>
      </c>
      <c r="O20" s="89">
        <f>+H20+K20+L20+M20</f>
        <v>1015687.4125</v>
      </c>
      <c r="P20" s="90">
        <f>(O20-N20)/N20</f>
        <v>6.734535887171339E-2</v>
      </c>
      <c r="Q20" s="82"/>
      <c r="S20" s="40">
        <f>+INPUT!$M$4</f>
        <v>330</v>
      </c>
      <c r="T20" s="25">
        <f>$T$17*E20</f>
        <v>383797.5</v>
      </c>
      <c r="U20" s="25">
        <f>$U$17*($A$20*0.5)</f>
        <v>159750</v>
      </c>
      <c r="V20" s="25">
        <f>$V$17*$A$20</f>
        <v>233500</v>
      </c>
      <c r="W20" s="25">
        <f>$W$17*$A$20</f>
        <v>155500</v>
      </c>
      <c r="X20" s="25">
        <f>S20+T20+U20+V20+W20</f>
        <v>932877.5</v>
      </c>
      <c r="Y20" s="25"/>
      <c r="Z20" s="25"/>
      <c r="AC20" s="40">
        <f>INPUT!$M$26</f>
        <v>329.9425</v>
      </c>
      <c r="AD20" s="25">
        <f>$AD$17*E20</f>
        <v>349633.5</v>
      </c>
      <c r="AE20" s="25">
        <f>$AE$17*($A$20*0.5)</f>
        <v>195000</v>
      </c>
      <c r="AF20" s="25">
        <f>$A$20*$AF$17</f>
        <v>290000</v>
      </c>
      <c r="AG20" s="25">
        <f>$A$20*$AG$17</f>
        <v>162000</v>
      </c>
      <c r="AH20" s="25">
        <f>AC20+AD20+AE20+AF20+AG20</f>
        <v>996963.4425</v>
      </c>
      <c r="AI20" s="25"/>
      <c r="AK20" s="40">
        <f>AH20-X20</f>
        <v>64085.942500000005</v>
      </c>
      <c r="AM20" s="137">
        <f>AH20/X20-1</f>
        <v>6.8697060975315694E-2</v>
      </c>
    </row>
    <row r="21" spans="1:39" x14ac:dyDescent="0.2">
      <c r="C21" s="136">
        <v>0.5</v>
      </c>
      <c r="E21" s="82">
        <f>C21*($A$20*730)</f>
        <v>18250000</v>
      </c>
      <c r="F21" s="82"/>
      <c r="G21" s="89">
        <f t="shared" ref="G21:G38" si="0">+X21</f>
        <v>1188742.5</v>
      </c>
      <c r="H21" s="89">
        <f>+AH21</f>
        <v>1230052.4424999999</v>
      </c>
      <c r="I21" s="89">
        <f>+H21-G21</f>
        <v>41309.942499999888</v>
      </c>
      <c r="J21" s="90">
        <f>ROUND(+I21/G21,4)</f>
        <v>3.4799999999999998E-2</v>
      </c>
      <c r="K21" s="89">
        <f>ROUND($T$10*$E21,2)</f>
        <v>-10594.02</v>
      </c>
      <c r="L21" s="89">
        <f>ROUND($T$11*$E21,2)</f>
        <v>0</v>
      </c>
      <c r="M21" s="89">
        <f>ROUND($T$12*$E21,2)</f>
        <v>41800.639999999999</v>
      </c>
      <c r="N21" s="89">
        <f>+G21+K21+L21+M21</f>
        <v>1219949.1199999999</v>
      </c>
      <c r="O21" s="89">
        <f>+H21+K21+L21+M21</f>
        <v>1261259.0624999998</v>
      </c>
      <c r="P21" s="90">
        <f>(O21-N21)/N21</f>
        <v>3.3862020819359982E-2</v>
      </c>
      <c r="Q21" s="82"/>
      <c r="S21" s="40">
        <f>$S$20</f>
        <v>330</v>
      </c>
      <c r="T21" s="25">
        <f>$T$17*E21</f>
        <v>639662.5</v>
      </c>
      <c r="U21" s="25">
        <f>$U$17*($A$20*0.5)</f>
        <v>159750</v>
      </c>
      <c r="V21" s="25">
        <f>$V$17*$A$20</f>
        <v>233500</v>
      </c>
      <c r="W21" s="25">
        <f>$W$17*$A$20</f>
        <v>155500</v>
      </c>
      <c r="X21" s="25">
        <f>S21+T21+U21+V21+W21</f>
        <v>1188742.5</v>
      </c>
      <c r="Y21" s="25"/>
      <c r="Z21" s="25"/>
      <c r="AC21" s="40">
        <f>$AC$20</f>
        <v>329.9425</v>
      </c>
      <c r="AD21" s="25">
        <f>$AD$17*E21</f>
        <v>582722.5</v>
      </c>
      <c r="AE21" s="25">
        <f>$AE$17*($A$20*0.5)</f>
        <v>195000</v>
      </c>
      <c r="AF21" s="25">
        <f>$A$20*$AF$17</f>
        <v>290000</v>
      </c>
      <c r="AG21" s="25">
        <f>$A$20*$AG$17</f>
        <v>162000</v>
      </c>
      <c r="AH21" s="25">
        <f>AC21+AD21+AE21+AF21+AG21</f>
        <v>1230052.4424999999</v>
      </c>
      <c r="AI21" s="25"/>
      <c r="AK21" s="40">
        <f>AH21-X21</f>
        <v>41309.942499999888</v>
      </c>
      <c r="AM21" s="137">
        <f>AH21/X21-1</f>
        <v>3.4750959522352298E-2</v>
      </c>
    </row>
    <row r="22" spans="1:39" x14ac:dyDescent="0.2">
      <c r="C22" s="136">
        <v>0.7</v>
      </c>
      <c r="E22" s="82">
        <f>C22*($A$20*730)</f>
        <v>25550000</v>
      </c>
      <c r="F22" s="82"/>
      <c r="G22" s="89">
        <f t="shared" si="0"/>
        <v>1444607.5</v>
      </c>
      <c r="H22" s="89">
        <f>+AH22</f>
        <v>1463141.4424999999</v>
      </c>
      <c r="I22" s="89">
        <f>+H22-G22</f>
        <v>18533.942499999888</v>
      </c>
      <c r="J22" s="90">
        <f>ROUND(+I22/G22,4)</f>
        <v>1.2800000000000001E-2</v>
      </c>
      <c r="K22" s="89">
        <f>ROUND($T$10*$E22,2)</f>
        <v>-14831.63</v>
      </c>
      <c r="L22" s="89">
        <f>ROUND($T$11*$E22,2)</f>
        <v>0</v>
      </c>
      <c r="M22" s="89">
        <f>ROUND($T$12*$E22,2)</f>
        <v>58520.9</v>
      </c>
      <c r="N22" s="89">
        <f>+G22+K22+L22+M22</f>
        <v>1488296.77</v>
      </c>
      <c r="O22" s="89">
        <f>+H22+K22+L22+M22</f>
        <v>1506830.7124999999</v>
      </c>
      <c r="P22" s="90">
        <f>(O22-N22)/N22</f>
        <v>1.2453122840547379E-2</v>
      </c>
      <c r="Q22" s="82"/>
      <c r="S22" s="40">
        <f>$S$20</f>
        <v>330</v>
      </c>
      <c r="T22" s="25">
        <f>$T$17*E22</f>
        <v>895527.5</v>
      </c>
      <c r="U22" s="25">
        <f>$U$17*($A$20*0.5)</f>
        <v>159750</v>
      </c>
      <c r="V22" s="25">
        <f>$V$17*$A$20</f>
        <v>233500</v>
      </c>
      <c r="W22" s="25">
        <f>$W$17*$A$20</f>
        <v>155500</v>
      </c>
      <c r="X22" s="25">
        <f>S22+T22+U22+V22+W22</f>
        <v>1444607.5</v>
      </c>
      <c r="Y22" s="25"/>
      <c r="Z22" s="25"/>
      <c r="AC22" s="40">
        <f>$AC$20</f>
        <v>329.9425</v>
      </c>
      <c r="AD22" s="25">
        <f>$AD$17*E22</f>
        <v>815811.5</v>
      </c>
      <c r="AE22" s="25">
        <f>$AE$17*($A$20*0.5)</f>
        <v>195000</v>
      </c>
      <c r="AF22" s="25">
        <f>$A$20*$AF$17</f>
        <v>290000</v>
      </c>
      <c r="AG22" s="25">
        <f>$A$20*$AG$17</f>
        <v>162000</v>
      </c>
      <c r="AH22" s="25">
        <f>AC22+AD22+AE22+AF22+AG22</f>
        <v>1463141.4424999999</v>
      </c>
      <c r="AI22" s="25"/>
      <c r="AK22" s="40">
        <f>AH22-X22</f>
        <v>18533.942499999888</v>
      </c>
      <c r="AM22" s="137">
        <f>AH22/X22-1</f>
        <v>1.2829742680970257E-2</v>
      </c>
    </row>
    <row r="23" spans="1:39" x14ac:dyDescent="0.2">
      <c r="C23" s="136"/>
      <c r="E23" s="82"/>
      <c r="F23" s="82"/>
      <c r="G23" s="89"/>
      <c r="H23" s="89"/>
      <c r="J23" s="37"/>
      <c r="K23" s="82"/>
      <c r="L23" s="82"/>
      <c r="M23" s="82"/>
      <c r="P23" s="90"/>
      <c r="Q23" s="82"/>
      <c r="S23" s="40"/>
      <c r="T23" s="25"/>
      <c r="U23" s="25"/>
      <c r="V23" s="25"/>
      <c r="W23" s="25"/>
      <c r="X23" s="25"/>
      <c r="Y23" s="25"/>
      <c r="AC23" s="40"/>
      <c r="AD23" s="25"/>
      <c r="AE23" s="25"/>
      <c r="AF23" s="25"/>
      <c r="AG23" s="25"/>
      <c r="AH23" s="25"/>
      <c r="AK23" s="84"/>
      <c r="AM23" s="84"/>
    </row>
    <row r="24" spans="1:39" x14ac:dyDescent="0.2">
      <c r="A24" s="82">
        <v>75000</v>
      </c>
      <c r="B24" s="82"/>
      <c r="C24" s="136">
        <v>0.3</v>
      </c>
      <c r="E24" s="82">
        <f>C24*($A$24*730)</f>
        <v>16425000</v>
      </c>
      <c r="F24" s="82"/>
      <c r="G24" s="89">
        <f t="shared" si="0"/>
        <v>1399151.25</v>
      </c>
      <c r="H24" s="89">
        <f>+AH24</f>
        <v>1495280.1924999999</v>
      </c>
      <c r="I24" s="89">
        <f>+H24-G24</f>
        <v>96128.942499999888</v>
      </c>
      <c r="J24" s="90">
        <f>ROUND(+I24/G24,4)</f>
        <v>6.8699999999999997E-2</v>
      </c>
      <c r="K24" s="89">
        <f>ROUND($T$10*$E24,2)</f>
        <v>-9534.6200000000008</v>
      </c>
      <c r="L24" s="89">
        <f>ROUND($T$11*$E24,2)</f>
        <v>0</v>
      </c>
      <c r="M24" s="89">
        <f>ROUND($T$12*$E24,2)</f>
        <v>37620.58</v>
      </c>
      <c r="N24" s="89">
        <f>+G24+K24+L24+M24</f>
        <v>1427237.21</v>
      </c>
      <c r="O24" s="89">
        <f>+H24+K24+L24+M24</f>
        <v>1523366.1524999999</v>
      </c>
      <c r="P24" s="90">
        <f>(O24-N24)/N24</f>
        <v>6.735316443998815E-2</v>
      </c>
      <c r="Q24" s="82"/>
      <c r="S24" s="40">
        <f>$S$20</f>
        <v>330</v>
      </c>
      <c r="T24" s="25">
        <f>$T$17*E24</f>
        <v>575696.25</v>
      </c>
      <c r="U24" s="25">
        <f>$U$17*($A$24*0.5)</f>
        <v>239625</v>
      </c>
      <c r="V24" s="25">
        <f>$V$17*$A$24</f>
        <v>350250</v>
      </c>
      <c r="W24" s="25">
        <f>$W$17*$A$24</f>
        <v>233250</v>
      </c>
      <c r="X24" s="25">
        <f>S24+T24+U24+V24+W24</f>
        <v>1399151.25</v>
      </c>
      <c r="Y24" s="25"/>
      <c r="Z24" s="25"/>
      <c r="AC24" s="40">
        <f>$AC$20</f>
        <v>329.9425</v>
      </c>
      <c r="AD24" s="25">
        <f>$AD$17*E24</f>
        <v>524450.25</v>
      </c>
      <c r="AE24" s="25">
        <f>$AE$17*($A$24*0.5)</f>
        <v>292500</v>
      </c>
      <c r="AF24" s="25">
        <f>$A$24*$AF$17</f>
        <v>435000</v>
      </c>
      <c r="AG24" s="25">
        <f>$A$24*$AG$17</f>
        <v>243000.00000000003</v>
      </c>
      <c r="AH24" s="25">
        <f>AC24+AD24+AE24+AF24+AG24</f>
        <v>1495280.1924999999</v>
      </c>
      <c r="AI24" s="25"/>
      <c r="AK24" s="40">
        <f>AH24-X24</f>
        <v>96128.942499999888</v>
      </c>
      <c r="AL24" s="107"/>
      <c r="AM24" s="137">
        <f>AH24/X24-1</f>
        <v>6.8705182874260196E-2</v>
      </c>
    </row>
    <row r="25" spans="1:39" x14ac:dyDescent="0.2">
      <c r="C25" s="136">
        <v>0.5</v>
      </c>
      <c r="E25" s="82">
        <f>C25*($A$24*730)</f>
        <v>27375000</v>
      </c>
      <c r="F25" s="82"/>
      <c r="G25" s="89">
        <f t="shared" si="0"/>
        <v>1782948.75</v>
      </c>
      <c r="H25" s="89">
        <f>+AH25</f>
        <v>1844913.6924999999</v>
      </c>
      <c r="I25" s="89">
        <f>+H25-G25</f>
        <v>61964.942499999888</v>
      </c>
      <c r="J25" s="90">
        <f>ROUND(+I25/G25,4)</f>
        <v>3.4799999999999998E-2</v>
      </c>
      <c r="K25" s="89">
        <f>ROUND($T$10*$E25,2)</f>
        <v>-15891.03</v>
      </c>
      <c r="L25" s="89">
        <f>ROUND($T$11*$E25,2)</f>
        <v>0</v>
      </c>
      <c r="M25" s="89">
        <f>ROUND($T$12*$E25,2)</f>
        <v>62700.959999999999</v>
      </c>
      <c r="N25" s="89">
        <f>+G25+K25+L25+M25</f>
        <v>1829758.68</v>
      </c>
      <c r="O25" s="89">
        <f>+H25+K25+L25+M25</f>
        <v>1891723.6224999998</v>
      </c>
      <c r="P25" s="90">
        <f>(O25-N25)/N25</f>
        <v>3.3865090067505453E-2</v>
      </c>
      <c r="Q25" s="82"/>
      <c r="S25" s="40">
        <f>$S$20</f>
        <v>330</v>
      </c>
      <c r="T25" s="25">
        <f>$T$17*E25</f>
        <v>959493.74999999988</v>
      </c>
      <c r="U25" s="25">
        <f>$U$17*($A$24*0.5)</f>
        <v>239625</v>
      </c>
      <c r="V25" s="25">
        <f>$V$17*$A$24</f>
        <v>350250</v>
      </c>
      <c r="W25" s="25">
        <f>$W$17*$A$24</f>
        <v>233250</v>
      </c>
      <c r="X25" s="25">
        <f>S25+T25+U25+V25+W25</f>
        <v>1782948.75</v>
      </c>
      <c r="Y25" s="25"/>
      <c r="Z25" s="25"/>
      <c r="AC25" s="40">
        <f>$AC$20</f>
        <v>329.9425</v>
      </c>
      <c r="AD25" s="25">
        <f>$AD$17*E25</f>
        <v>874083.75</v>
      </c>
      <c r="AE25" s="25">
        <f>$AE$17*($A$24*0.5)</f>
        <v>292500</v>
      </c>
      <c r="AF25" s="25">
        <f>$A$24*$AF$17</f>
        <v>435000</v>
      </c>
      <c r="AG25" s="25">
        <f>$A$24*$AG$17</f>
        <v>243000.00000000003</v>
      </c>
      <c r="AH25" s="25">
        <f>AC25+AD25+AE25+AF25+AG25</f>
        <v>1844913.6924999999</v>
      </c>
      <c r="AI25" s="25"/>
      <c r="AK25" s="40">
        <f>AH25-X25</f>
        <v>61964.942499999888</v>
      </c>
      <c r="AL25" s="107"/>
      <c r="AM25" s="137">
        <f>AH25/X25-1</f>
        <v>3.4754191616556573E-2</v>
      </c>
    </row>
    <row r="26" spans="1:39" x14ac:dyDescent="0.2">
      <c r="C26" s="136">
        <v>0.7</v>
      </c>
      <c r="E26" s="82">
        <f>C26*($A$24*730)</f>
        <v>38325000</v>
      </c>
      <c r="F26" s="82"/>
      <c r="G26" s="89">
        <f t="shared" si="0"/>
        <v>2166746.25</v>
      </c>
      <c r="H26" s="89">
        <f>+AH26</f>
        <v>2194547.1924999999</v>
      </c>
      <c r="I26" s="89">
        <f>+H26-G26</f>
        <v>27800.942499999888</v>
      </c>
      <c r="J26" s="90">
        <f>ROUND(+I26/G26,4)</f>
        <v>1.2800000000000001E-2</v>
      </c>
      <c r="K26" s="89">
        <f>ROUND($T$10*$E26,2)</f>
        <v>-22247.439999999999</v>
      </c>
      <c r="L26" s="89">
        <f>ROUND($T$11*$E26,2)</f>
        <v>0</v>
      </c>
      <c r="M26" s="89">
        <f>ROUND($T$12*$E26,2)</f>
        <v>87781.34</v>
      </c>
      <c r="N26" s="89">
        <f>+G26+K26+L26+M26</f>
        <v>2232280.15</v>
      </c>
      <c r="O26" s="89">
        <f>+H26+K26+L26+M26</f>
        <v>2260081.0924999998</v>
      </c>
      <c r="P26" s="90">
        <f>(O26-N26)/N26</f>
        <v>1.2454056225872855E-2</v>
      </c>
      <c r="Q26" s="82"/>
      <c r="S26" s="40">
        <f>$S$20</f>
        <v>330</v>
      </c>
      <c r="T26" s="25">
        <f>$T$17*E26</f>
        <v>1343291.25</v>
      </c>
      <c r="U26" s="25">
        <f>$U$17*($A$24*0.5)</f>
        <v>239625</v>
      </c>
      <c r="V26" s="25">
        <f>$V$17*$A$24</f>
        <v>350250</v>
      </c>
      <c r="W26" s="25">
        <f>$W$17*$A$24</f>
        <v>233250</v>
      </c>
      <c r="X26" s="25">
        <f>S26+T26+U26+V26+W26</f>
        <v>2166746.25</v>
      </c>
      <c r="Y26" s="25"/>
      <c r="Z26" s="25"/>
      <c r="AC26" s="40">
        <f>$AC$20</f>
        <v>329.9425</v>
      </c>
      <c r="AD26" s="25">
        <f>$AD$17*E26</f>
        <v>1223717.25</v>
      </c>
      <c r="AE26" s="25">
        <f>$AE$17*($A$24*0.5)</f>
        <v>292500</v>
      </c>
      <c r="AF26" s="25">
        <f>$A$24*$AF$17</f>
        <v>435000</v>
      </c>
      <c r="AG26" s="25">
        <f>$A$24*$AG$17</f>
        <v>243000.00000000003</v>
      </c>
      <c r="AH26" s="25">
        <f>AC26+AD26+AE26+AF26+AG26</f>
        <v>2194547.1924999999</v>
      </c>
      <c r="AI26" s="25"/>
      <c r="AK26" s="40">
        <f>AH26-X26</f>
        <v>27800.942499999888</v>
      </c>
      <c r="AM26" s="137">
        <f>AH26/X26-1</f>
        <v>1.2830732948078127E-2</v>
      </c>
    </row>
    <row r="27" spans="1:39" x14ac:dyDescent="0.2">
      <c r="C27" s="136"/>
      <c r="E27" s="82"/>
      <c r="F27" s="82"/>
      <c r="G27" s="89"/>
      <c r="H27" s="89"/>
      <c r="J27" s="37"/>
      <c r="K27" s="82"/>
      <c r="L27" s="82"/>
      <c r="M27" s="82"/>
      <c r="P27" s="90"/>
      <c r="Q27" s="82"/>
      <c r="S27" s="40"/>
      <c r="T27" s="25"/>
      <c r="U27" s="25"/>
      <c r="V27" s="25"/>
      <c r="W27" s="25"/>
      <c r="X27" s="25"/>
      <c r="Y27" s="25"/>
      <c r="AC27" s="40"/>
      <c r="AD27" s="25"/>
      <c r="AE27" s="25"/>
      <c r="AF27" s="25"/>
      <c r="AG27" s="25"/>
      <c r="AH27" s="25"/>
      <c r="AK27" s="84"/>
      <c r="AM27" s="84"/>
    </row>
    <row r="28" spans="1:39" x14ac:dyDescent="0.2">
      <c r="A28" s="82">
        <v>100000</v>
      </c>
      <c r="B28" s="82"/>
      <c r="C28" s="136">
        <v>0.3</v>
      </c>
      <c r="E28" s="82">
        <f>C28*($A$28*730)</f>
        <v>21900000</v>
      </c>
      <c r="F28" s="82"/>
      <c r="G28" s="89">
        <f t="shared" si="0"/>
        <v>1865425</v>
      </c>
      <c r="H28" s="89">
        <f>+AH28</f>
        <v>1993596.9424999999</v>
      </c>
      <c r="I28" s="89">
        <f>+H28-G28</f>
        <v>128171.94249999989</v>
      </c>
      <c r="J28" s="90">
        <f>ROUND(+I28/G28,4)</f>
        <v>6.8699999999999997E-2</v>
      </c>
      <c r="K28" s="89">
        <f>ROUND($T$10*$E28,2)</f>
        <v>-12712.83</v>
      </c>
      <c r="L28" s="89">
        <f>ROUND($T$11*$E28,2)</f>
        <v>0</v>
      </c>
      <c r="M28" s="89">
        <f>ROUND($T$12*$E28,2)</f>
        <v>50160.77</v>
      </c>
      <c r="N28" s="89">
        <f>+G28+K28+L28+M28</f>
        <v>1902872.94</v>
      </c>
      <c r="O28" s="89">
        <f>+H28+K28+L28+M28</f>
        <v>2031044.8824999998</v>
      </c>
      <c r="P28" s="90">
        <f>(O28-N28)/N28</f>
        <v>6.735706825490928E-2</v>
      </c>
      <c r="Q28" s="82"/>
      <c r="S28" s="40">
        <f>$S$20</f>
        <v>330</v>
      </c>
      <c r="T28" s="25">
        <f>$T$17*E28</f>
        <v>767595</v>
      </c>
      <c r="U28" s="25">
        <f>$U$17*($A$28*0.5)</f>
        <v>319500</v>
      </c>
      <c r="V28" s="25">
        <f>$V$17*$A$28</f>
        <v>467000</v>
      </c>
      <c r="W28" s="25">
        <f>$W$17*$A$28</f>
        <v>311000</v>
      </c>
      <c r="X28" s="25">
        <f>S28+T28+U28+V28+W28</f>
        <v>1865425</v>
      </c>
      <c r="Y28" s="25"/>
      <c r="Z28" s="25"/>
      <c r="AC28" s="40">
        <f>$AC$20</f>
        <v>329.9425</v>
      </c>
      <c r="AD28" s="25">
        <f>$AD$17*E28</f>
        <v>699267</v>
      </c>
      <c r="AE28" s="25">
        <f>$AE$17*($A$28*0.5)</f>
        <v>390000</v>
      </c>
      <c r="AF28" s="25">
        <f>$A$28*$AF$17</f>
        <v>580000</v>
      </c>
      <c r="AG28" s="25">
        <f>$A$28*$AG$17</f>
        <v>324000</v>
      </c>
      <c r="AH28" s="25">
        <f>AC28+AD28+AE28+AF28+AG28</f>
        <v>1993596.9424999999</v>
      </c>
      <c r="AI28" s="25"/>
      <c r="AK28" s="40">
        <f>AH28-X28</f>
        <v>128171.94249999989</v>
      </c>
      <c r="AM28" s="137">
        <f>AH28/X28-1</f>
        <v>6.8709244542128456E-2</v>
      </c>
    </row>
    <row r="29" spans="1:39" x14ac:dyDescent="0.2">
      <c r="C29" s="136">
        <v>0.5</v>
      </c>
      <c r="E29" s="82">
        <f>C29*($A$28*730)</f>
        <v>36500000</v>
      </c>
      <c r="F29" s="82"/>
      <c r="G29" s="89">
        <f t="shared" si="0"/>
        <v>2377155</v>
      </c>
      <c r="H29" s="89">
        <f>+AH29</f>
        <v>2459774.9424999999</v>
      </c>
      <c r="I29" s="89">
        <f>+H29-G29</f>
        <v>82619.942499999888</v>
      </c>
      <c r="J29" s="90">
        <f>ROUND(+I29/G29,4)</f>
        <v>3.4799999999999998E-2</v>
      </c>
      <c r="K29" s="89">
        <f>ROUND($T$10*$E29,2)</f>
        <v>-21188.04</v>
      </c>
      <c r="L29" s="89">
        <f>ROUND($T$11*$E29,2)</f>
        <v>0</v>
      </c>
      <c r="M29" s="89">
        <f>ROUND($T$12*$E29,2)</f>
        <v>83601.279999999999</v>
      </c>
      <c r="N29" s="89">
        <f>+G29+K29+L29+M29</f>
        <v>2439568.2399999998</v>
      </c>
      <c r="O29" s="89">
        <f>+H29+K29+L29+M29</f>
        <v>2522188.1824999996</v>
      </c>
      <c r="P29" s="90">
        <f>(O29-N29)/N29</f>
        <v>3.3866624899166538E-2</v>
      </c>
      <c r="Q29" s="82"/>
      <c r="S29" s="40">
        <f>$S$20</f>
        <v>330</v>
      </c>
      <c r="T29" s="25">
        <f>$T$17*E29</f>
        <v>1279325</v>
      </c>
      <c r="U29" s="25">
        <f>$U$17*($A$28*0.5)</f>
        <v>319500</v>
      </c>
      <c r="V29" s="25">
        <f>$V$17*$A$28</f>
        <v>467000</v>
      </c>
      <c r="W29" s="25">
        <f>$W$17*$A$28</f>
        <v>311000</v>
      </c>
      <c r="X29" s="25">
        <f>S29+T29+U29+V29+W29</f>
        <v>2377155</v>
      </c>
      <c r="Y29" s="25"/>
      <c r="Z29" s="25"/>
      <c r="AC29" s="40">
        <f>$AC$20</f>
        <v>329.9425</v>
      </c>
      <c r="AD29" s="25">
        <f>$AD$17*E29</f>
        <v>1165445</v>
      </c>
      <c r="AE29" s="25">
        <f>$AE$17*($A$28*0.5)</f>
        <v>390000</v>
      </c>
      <c r="AF29" s="25">
        <f>$A$28*$AF$17</f>
        <v>580000</v>
      </c>
      <c r="AG29" s="25">
        <f>$A$28*$AG$17</f>
        <v>324000</v>
      </c>
      <c r="AH29" s="25">
        <f>AC29+AD29+AE29+AF29+AG29</f>
        <v>2459774.9424999999</v>
      </c>
      <c r="AI29" s="25"/>
      <c r="AK29" s="40">
        <f>AH29-X29</f>
        <v>82619.942499999888</v>
      </c>
      <c r="AM29" s="137">
        <f>AH29/X29-1</f>
        <v>3.4755807888000589E-2</v>
      </c>
    </row>
    <row r="30" spans="1:39" x14ac:dyDescent="0.2">
      <c r="C30" s="136">
        <v>0.7</v>
      </c>
      <c r="E30" s="82">
        <f>C30*($A$28*730)</f>
        <v>51100000</v>
      </c>
      <c r="F30" s="82"/>
      <c r="G30" s="89">
        <f t="shared" si="0"/>
        <v>2888885</v>
      </c>
      <c r="H30" s="89">
        <f>+AH30</f>
        <v>2925952.9424999999</v>
      </c>
      <c r="I30" s="89">
        <f>+H30-G30</f>
        <v>37067.942499999888</v>
      </c>
      <c r="J30" s="90">
        <f>ROUND(+I30/G30,4)</f>
        <v>1.2800000000000001E-2</v>
      </c>
      <c r="K30" s="89">
        <f>ROUND($T$10*$E30,2)</f>
        <v>-29663.26</v>
      </c>
      <c r="L30" s="89">
        <f>ROUND($T$11*$E30,2)</f>
        <v>0</v>
      </c>
      <c r="M30" s="89">
        <f>ROUND($T$12*$E30,2)</f>
        <v>117041.79</v>
      </c>
      <c r="N30" s="89">
        <f>+G30+K30+L30+M30</f>
        <v>2976263.5300000003</v>
      </c>
      <c r="O30" s="89">
        <f>+H30+K30+L30+M30</f>
        <v>3013331.4725000001</v>
      </c>
      <c r="P30" s="90">
        <f>(O30-N30)/N30</f>
        <v>1.2454522970282772E-2</v>
      </c>
      <c r="Q30" s="82"/>
      <c r="S30" s="40">
        <f>$S$20</f>
        <v>330</v>
      </c>
      <c r="T30" s="25">
        <f>$T$17*E30</f>
        <v>1791055</v>
      </c>
      <c r="U30" s="25">
        <f>$U$17*($A$28*0.5)</f>
        <v>319500</v>
      </c>
      <c r="V30" s="25">
        <f>$V$17*$A$28</f>
        <v>467000</v>
      </c>
      <c r="W30" s="25">
        <f>$W$17*$A$28</f>
        <v>311000</v>
      </c>
      <c r="X30" s="25">
        <f>S30+T30+U30+V30+W30</f>
        <v>2888885</v>
      </c>
      <c r="Y30" s="25"/>
      <c r="Z30" s="25"/>
      <c r="AC30" s="40">
        <f>$AC$20</f>
        <v>329.9425</v>
      </c>
      <c r="AD30" s="25">
        <f>$AD$17*E30</f>
        <v>1631623</v>
      </c>
      <c r="AE30" s="25">
        <f>$AE$17*($A$28*0.5)</f>
        <v>390000</v>
      </c>
      <c r="AF30" s="25">
        <f>$A$28*$AF$17</f>
        <v>580000</v>
      </c>
      <c r="AG30" s="25">
        <f>$A$28*$AG$17</f>
        <v>324000</v>
      </c>
      <c r="AH30" s="25">
        <f>AC30+AD30+AE30+AF30+AG30</f>
        <v>2925952.9424999999</v>
      </c>
      <c r="AI30" s="25"/>
      <c r="AK30" s="40">
        <f>AH30-X30</f>
        <v>37067.942499999888</v>
      </c>
      <c r="AM30" s="137">
        <f>AH30/X30-1</f>
        <v>1.2831228138191708E-2</v>
      </c>
    </row>
    <row r="31" spans="1:39" x14ac:dyDescent="0.2">
      <c r="C31" s="136"/>
      <c r="E31" s="82"/>
      <c r="F31" s="82"/>
      <c r="G31" s="89"/>
      <c r="H31" s="89"/>
      <c r="J31" s="37"/>
      <c r="K31" s="82"/>
      <c r="L31" s="82"/>
      <c r="M31" s="82"/>
      <c r="P31" s="90"/>
      <c r="Q31" s="82"/>
      <c r="S31" s="40"/>
      <c r="T31" s="25"/>
      <c r="U31" s="25"/>
      <c r="V31" s="25"/>
      <c r="W31" s="25"/>
      <c r="X31" s="25"/>
      <c r="Y31" s="25"/>
      <c r="AC31" s="40"/>
      <c r="AD31" s="25"/>
      <c r="AE31" s="25"/>
      <c r="AF31" s="25"/>
      <c r="AG31" s="25"/>
      <c r="AH31" s="25"/>
      <c r="AK31" s="84"/>
      <c r="AM31" s="84"/>
    </row>
    <row r="32" spans="1:39" x14ac:dyDescent="0.2">
      <c r="A32" s="82">
        <v>150000</v>
      </c>
      <c r="B32" s="82"/>
      <c r="C32" s="136">
        <v>0.3</v>
      </c>
      <c r="E32" s="82">
        <f>C32*($A$32*730)</f>
        <v>32850000</v>
      </c>
      <c r="F32" s="82"/>
      <c r="G32" s="89">
        <f t="shared" si="0"/>
        <v>2797972.5</v>
      </c>
      <c r="H32" s="89">
        <f>+AH32</f>
        <v>2990230.4424999999</v>
      </c>
      <c r="I32" s="89">
        <f>+H32-G32</f>
        <v>192257.94249999989</v>
      </c>
      <c r="J32" s="90">
        <f>ROUND(+I32/G32,4)</f>
        <v>6.8699999999999997E-2</v>
      </c>
      <c r="K32" s="89">
        <f>ROUND($T$10*$E32,2)</f>
        <v>-19069.240000000002</v>
      </c>
      <c r="L32" s="89">
        <f>ROUND($T$11*$E32,2)</f>
        <v>0</v>
      </c>
      <c r="M32" s="89">
        <f>ROUND($T$12*$E32,2)</f>
        <v>75241.149999999994</v>
      </c>
      <c r="N32" s="89">
        <f>+G32+K32+L32+M32</f>
        <v>2854144.4099999997</v>
      </c>
      <c r="O32" s="89">
        <f>+H32+K32+L32+M32</f>
        <v>3046402.3524999996</v>
      </c>
      <c r="P32" s="90">
        <f>(O32-N32)/N32</f>
        <v>6.7360972285210999E-2</v>
      </c>
      <c r="Q32" s="82"/>
      <c r="S32" s="40">
        <f>$S$20</f>
        <v>330</v>
      </c>
      <c r="T32" s="25">
        <f>$T$17*E32</f>
        <v>1151392.5</v>
      </c>
      <c r="U32" s="25">
        <f>$U$17*($A$32*0.5)</f>
        <v>479250</v>
      </c>
      <c r="V32" s="25">
        <f>$V$17*$A$32</f>
        <v>700500</v>
      </c>
      <c r="W32" s="25">
        <f>$W$17*$A$32</f>
        <v>466500</v>
      </c>
      <c r="X32" s="25">
        <f>S32+T32+U32+V32+W32</f>
        <v>2797972.5</v>
      </c>
      <c r="Y32" s="25"/>
      <c r="Z32" s="25"/>
      <c r="AC32" s="40">
        <f>$AC$20</f>
        <v>329.9425</v>
      </c>
      <c r="AD32" s="25">
        <f>$AD$17*E32</f>
        <v>1048900.5</v>
      </c>
      <c r="AE32" s="25">
        <f>$AE$17*($A$32*0.5)</f>
        <v>585000</v>
      </c>
      <c r="AF32" s="25">
        <f>$A$32*$AF$17</f>
        <v>870000</v>
      </c>
      <c r="AG32" s="25">
        <f>$A$32*$AG$17</f>
        <v>486000.00000000006</v>
      </c>
      <c r="AH32" s="25">
        <f>AC32+AD32+AE32+AF32+AG32</f>
        <v>2990230.4424999999</v>
      </c>
      <c r="AI32" s="25"/>
      <c r="AK32" s="40">
        <f>AH32-X32</f>
        <v>192257.94249999989</v>
      </c>
      <c r="AM32" s="137">
        <f>AH32/X32-1</f>
        <v>6.8713306689039966E-2</v>
      </c>
    </row>
    <row r="33" spans="1:39" x14ac:dyDescent="0.2">
      <c r="C33" s="136">
        <v>0.5</v>
      </c>
      <c r="E33" s="82">
        <f>C33*($A$32*730)</f>
        <v>54750000</v>
      </c>
      <c r="F33" s="82"/>
      <c r="G33" s="89">
        <f t="shared" si="0"/>
        <v>3565567.5</v>
      </c>
      <c r="H33" s="89">
        <f>+AH33</f>
        <v>3689497.4424999999</v>
      </c>
      <c r="I33" s="89">
        <f>+H33-G33</f>
        <v>123929.94249999989</v>
      </c>
      <c r="J33" s="90">
        <f>ROUND(+I33/G33,4)</f>
        <v>3.4799999999999998E-2</v>
      </c>
      <c r="K33" s="89">
        <f>ROUND($T$10*$E33,2)</f>
        <v>-31782.06</v>
      </c>
      <c r="L33" s="89">
        <f>ROUND($T$11*$E33,2)</f>
        <v>0</v>
      </c>
      <c r="M33" s="89">
        <f>ROUND($T$12*$E33,2)</f>
        <v>125401.92</v>
      </c>
      <c r="N33" s="89">
        <f>+G33+K33+L33+M33</f>
        <v>3659187.36</v>
      </c>
      <c r="O33" s="89">
        <f>+H33+K33+L33+M33</f>
        <v>3783117.3024999998</v>
      </c>
      <c r="P33" s="90">
        <f>(O33-N33)/N33</f>
        <v>3.3868159869244817E-2</v>
      </c>
      <c r="Q33" s="82"/>
      <c r="S33" s="40">
        <f>$S$20</f>
        <v>330</v>
      </c>
      <c r="T33" s="25">
        <f>$T$17*E33</f>
        <v>1918987.4999999998</v>
      </c>
      <c r="U33" s="25">
        <f>$U$17*($A$32*0.5)</f>
        <v>479250</v>
      </c>
      <c r="V33" s="25">
        <f>$V$17*$A$32</f>
        <v>700500</v>
      </c>
      <c r="W33" s="25">
        <f>$W$17*$A$32</f>
        <v>466500</v>
      </c>
      <c r="X33" s="25">
        <f>S33+T33+U33+V33+W33</f>
        <v>3565567.5</v>
      </c>
      <c r="Y33" s="25"/>
      <c r="Z33" s="25"/>
      <c r="AC33" s="40">
        <f>$AC$20</f>
        <v>329.9425</v>
      </c>
      <c r="AD33" s="25">
        <f>$AD$17*E33</f>
        <v>1748167.5</v>
      </c>
      <c r="AE33" s="25">
        <f>$AE$17*($A$32*0.5)</f>
        <v>585000</v>
      </c>
      <c r="AF33" s="25">
        <f>$A$32*$AF$17</f>
        <v>870000</v>
      </c>
      <c r="AG33" s="25">
        <f>$A$32*$AG$17</f>
        <v>486000.00000000006</v>
      </c>
      <c r="AH33" s="25">
        <f>AC33+AD33+AE33+AF33+AG33</f>
        <v>3689497.4424999999</v>
      </c>
      <c r="AI33" s="25"/>
      <c r="AK33" s="40">
        <f>AH33-X33</f>
        <v>123929.94249999989</v>
      </c>
      <c r="AM33" s="137">
        <f>AH33/X33-1</f>
        <v>3.4757424309033613E-2</v>
      </c>
    </row>
    <row r="34" spans="1:39" x14ac:dyDescent="0.2">
      <c r="C34" s="136">
        <v>0.7</v>
      </c>
      <c r="E34" s="82">
        <f>C34*($A$32*730)</f>
        <v>76650000</v>
      </c>
      <c r="F34" s="82"/>
      <c r="G34" s="89">
        <f t="shared" si="0"/>
        <v>4333162.5</v>
      </c>
      <c r="H34" s="89">
        <f>+AH34</f>
        <v>4388764.4424999999</v>
      </c>
      <c r="I34" s="89">
        <f>+H34-G34</f>
        <v>55601.942499999888</v>
      </c>
      <c r="J34" s="90">
        <f>ROUND(+I34/G34,4)</f>
        <v>1.2800000000000001E-2</v>
      </c>
      <c r="K34" s="89">
        <f>ROUND($T$10*$E34,2)</f>
        <v>-44494.89</v>
      </c>
      <c r="L34" s="89">
        <f>ROUND($T$11*$E34,2)</f>
        <v>0</v>
      </c>
      <c r="M34" s="89">
        <f>ROUND($T$12*$E34,2)</f>
        <v>175562.69</v>
      </c>
      <c r="N34" s="89">
        <f>+G34+K34+L34+M34</f>
        <v>4464230.3000000007</v>
      </c>
      <c r="O34" s="89">
        <f>+H34+K34+L34+M34</f>
        <v>4519832.2425000006</v>
      </c>
      <c r="P34" s="90">
        <f>(O34-N34)/N34</f>
        <v>1.2454989721296385E-2</v>
      </c>
      <c r="Q34" s="82"/>
      <c r="S34" s="40">
        <f>$S$20</f>
        <v>330</v>
      </c>
      <c r="T34" s="25">
        <f>$T$17*E34</f>
        <v>2686582.5</v>
      </c>
      <c r="U34" s="25">
        <f>$U$17*($A$32*0.5)</f>
        <v>479250</v>
      </c>
      <c r="V34" s="25">
        <f>$V$17*$A$32</f>
        <v>700500</v>
      </c>
      <c r="W34" s="25">
        <f>$W$17*$A$32</f>
        <v>466500</v>
      </c>
      <c r="X34" s="25">
        <f>S34+T34+U34+V34+W34</f>
        <v>4333162.5</v>
      </c>
      <c r="Y34" s="25"/>
      <c r="Z34" s="25"/>
      <c r="AC34" s="40">
        <f>$AC$20</f>
        <v>329.9425</v>
      </c>
      <c r="AD34" s="25">
        <f>$AD$17*E34</f>
        <v>2447434.5</v>
      </c>
      <c r="AE34" s="25">
        <f>$AE$17*($A$32*0.5)</f>
        <v>585000</v>
      </c>
      <c r="AF34" s="25">
        <f>$A$32*$AF$17</f>
        <v>870000</v>
      </c>
      <c r="AG34" s="25">
        <f>$A$32*$AG$17</f>
        <v>486000.00000000006</v>
      </c>
      <c r="AH34" s="25">
        <f>AC34+AD34+AE34+AF34+AG34</f>
        <v>4388764.4424999999</v>
      </c>
      <c r="AI34" s="25"/>
      <c r="AK34" s="40">
        <f>AH34-X34</f>
        <v>55601.942499999888</v>
      </c>
      <c r="AM34" s="137">
        <f>AH34/X34-1</f>
        <v>1.2831723366017345E-2</v>
      </c>
    </row>
    <row r="35" spans="1:39" x14ac:dyDescent="0.2">
      <c r="C35" s="136"/>
      <c r="E35" s="82"/>
      <c r="F35" s="82"/>
      <c r="G35" s="89"/>
      <c r="H35" s="89"/>
      <c r="J35" s="37"/>
      <c r="K35" s="82"/>
      <c r="L35" s="82"/>
      <c r="M35" s="82"/>
      <c r="P35" s="90"/>
      <c r="Q35" s="82"/>
      <c r="S35" s="40"/>
      <c r="T35" s="25"/>
      <c r="U35" s="25"/>
      <c r="V35" s="25"/>
      <c r="W35" s="25"/>
      <c r="X35" s="25"/>
      <c r="Y35" s="25"/>
      <c r="AC35" s="40"/>
      <c r="AD35" s="25"/>
      <c r="AE35" s="25"/>
      <c r="AF35" s="25"/>
      <c r="AG35" s="25"/>
      <c r="AH35" s="25"/>
      <c r="AK35" s="84"/>
      <c r="AM35" s="84"/>
    </row>
    <row r="36" spans="1:39" x14ac:dyDescent="0.2">
      <c r="A36" s="82">
        <v>200000</v>
      </c>
      <c r="B36" s="82"/>
      <c r="C36" s="136">
        <v>0.3</v>
      </c>
      <c r="E36" s="82">
        <f>C36*($A$36*730)</f>
        <v>43800000</v>
      </c>
      <c r="F36" s="82"/>
      <c r="G36" s="89">
        <f t="shared" si="0"/>
        <v>3730520</v>
      </c>
      <c r="H36" s="89">
        <f>+AH36</f>
        <v>3986863.9424999999</v>
      </c>
      <c r="I36" s="89">
        <f>+H36-G36</f>
        <v>256343.94249999989</v>
      </c>
      <c r="J36" s="90">
        <f>ROUND(+I36/G36,4)</f>
        <v>6.8699999999999997E-2</v>
      </c>
      <c r="K36" s="89">
        <f>ROUND($T$10*$E36,2)</f>
        <v>-25425.65</v>
      </c>
      <c r="L36" s="89">
        <f>ROUND($T$11*$E36,2)</f>
        <v>0</v>
      </c>
      <c r="M36" s="89">
        <f>ROUND($T$12*$E36,2)</f>
        <v>100321.54</v>
      </c>
      <c r="N36" s="89">
        <f>+G36+K36+L36+M36</f>
        <v>3805415.89</v>
      </c>
      <c r="O36" s="89">
        <f>+H36+K36+L36+M36</f>
        <v>4061759.8325</v>
      </c>
      <c r="P36" s="90">
        <f>(O36-N36)/N36</f>
        <v>6.7362924292619142E-2</v>
      </c>
      <c r="Q36" s="82"/>
      <c r="S36" s="40">
        <f>$S$20</f>
        <v>330</v>
      </c>
      <c r="T36" s="25">
        <f>$T$17*E36</f>
        <v>1535190</v>
      </c>
      <c r="U36" s="25">
        <f>$U$17*($A$36*0.5)</f>
        <v>639000</v>
      </c>
      <c r="V36" s="25">
        <f>$V$17*$A$36</f>
        <v>934000</v>
      </c>
      <c r="W36" s="25">
        <f>$W$17*$A$36</f>
        <v>622000</v>
      </c>
      <c r="X36" s="25">
        <f>S36+T36+U36+V36+W36</f>
        <v>3730520</v>
      </c>
      <c r="Y36" s="25"/>
      <c r="Z36" s="25"/>
      <c r="AC36" s="40">
        <f>$AC$20</f>
        <v>329.9425</v>
      </c>
      <c r="AD36" s="25">
        <f>$AD$17*E36</f>
        <v>1398534</v>
      </c>
      <c r="AE36" s="25">
        <f>$AE$17*($A$36*0.5)</f>
        <v>780000</v>
      </c>
      <c r="AF36" s="25">
        <f>$A$36*$AF$17</f>
        <v>1160000</v>
      </c>
      <c r="AG36" s="25">
        <f>$A$36*$AG$17</f>
        <v>648000</v>
      </c>
      <c r="AH36" s="25">
        <f>AC36+AD36+AE36+AF36+AG36</f>
        <v>3986863.9424999999</v>
      </c>
      <c r="AI36" s="25"/>
      <c r="AK36" s="40">
        <f>AH36-X36</f>
        <v>256343.94249999989</v>
      </c>
      <c r="AM36" s="137">
        <f>AH36/X36-1</f>
        <v>6.8715337942163446E-2</v>
      </c>
    </row>
    <row r="37" spans="1:39" x14ac:dyDescent="0.2">
      <c r="C37" s="136">
        <v>0.5</v>
      </c>
      <c r="E37" s="82">
        <f>C37*($A$36*730)</f>
        <v>73000000</v>
      </c>
      <c r="F37" s="82"/>
      <c r="G37" s="89">
        <f t="shared" si="0"/>
        <v>4753980</v>
      </c>
      <c r="H37" s="89">
        <f>+AH37</f>
        <v>4919219.9424999999</v>
      </c>
      <c r="I37" s="89">
        <f>+H37-G37</f>
        <v>165239.94249999989</v>
      </c>
      <c r="J37" s="90">
        <f>ROUND(+I37/G37,4)</f>
        <v>3.4799999999999998E-2</v>
      </c>
      <c r="K37" s="89">
        <f>ROUND($T$10*$E37,2)</f>
        <v>-42376.09</v>
      </c>
      <c r="L37" s="89">
        <f>ROUND($T$11*$E37,2)</f>
        <v>0</v>
      </c>
      <c r="M37" s="89">
        <f>ROUND($T$12*$E37,2)</f>
        <v>167202.56</v>
      </c>
      <c r="N37" s="89">
        <f>+G37+K37+L37+M37</f>
        <v>4878806.47</v>
      </c>
      <c r="O37" s="89">
        <f>+H37+K37+L37+M37</f>
        <v>5044046.4124999996</v>
      </c>
      <c r="P37" s="90">
        <f>(O37-N37)/N37</f>
        <v>3.3868927475616775E-2</v>
      </c>
      <c r="Q37" s="82"/>
      <c r="S37" s="40">
        <f>$S$20</f>
        <v>330</v>
      </c>
      <c r="T37" s="25">
        <f>$T$17*E37</f>
        <v>2558650</v>
      </c>
      <c r="U37" s="25">
        <f>$U$17*($A$36*0.5)</f>
        <v>639000</v>
      </c>
      <c r="V37" s="25">
        <f>$V$17*$A$36</f>
        <v>934000</v>
      </c>
      <c r="W37" s="25">
        <f>$W$17*$A$36</f>
        <v>622000</v>
      </c>
      <c r="X37" s="25">
        <f>S37+T37+U37+V37+W37</f>
        <v>4753980</v>
      </c>
      <c r="Y37" s="25"/>
      <c r="Z37" s="25"/>
      <c r="AC37" s="40">
        <f>$AC$20</f>
        <v>329.9425</v>
      </c>
      <c r="AD37" s="25">
        <f>$AD$17*E37</f>
        <v>2330890</v>
      </c>
      <c r="AE37" s="25">
        <f>$AE$17*($A$36*0.5)</f>
        <v>780000</v>
      </c>
      <c r="AF37" s="25">
        <f>$A$36*$AF$17</f>
        <v>1160000</v>
      </c>
      <c r="AG37" s="25">
        <f>$A$36*$AG$17</f>
        <v>648000</v>
      </c>
      <c r="AH37" s="25">
        <f>AC37+AD37+AE37+AF37+AG37</f>
        <v>4919219.9424999999</v>
      </c>
      <c r="AI37" s="25"/>
      <c r="AK37" s="40">
        <f>AH37-X37</f>
        <v>165239.94249999989</v>
      </c>
      <c r="AM37" s="137">
        <f>AH37/X37-1</f>
        <v>3.4758232575652359E-2</v>
      </c>
    </row>
    <row r="38" spans="1:39" x14ac:dyDescent="0.2">
      <c r="C38" s="136">
        <v>0.7</v>
      </c>
      <c r="E38" s="82">
        <f>C38*($A$36*730)</f>
        <v>102200000</v>
      </c>
      <c r="F38" s="82"/>
      <c r="G38" s="89">
        <f t="shared" si="0"/>
        <v>5777440</v>
      </c>
      <c r="H38" s="89">
        <f>+AH38</f>
        <v>5851575.9424999999</v>
      </c>
      <c r="I38" s="89">
        <f>+H38-G38</f>
        <v>74135.942499999888</v>
      </c>
      <c r="J38" s="90">
        <f>ROUND(+I38/G38,4)</f>
        <v>1.2800000000000001E-2</v>
      </c>
      <c r="K38" s="89">
        <f>ROUND($T$10*$E38,2)</f>
        <v>-59326.52</v>
      </c>
      <c r="L38" s="89">
        <f>ROUND($T$11*$E38,2)</f>
        <v>0</v>
      </c>
      <c r="M38" s="89">
        <f>ROUND($T$12*$E38,2)</f>
        <v>234083.58</v>
      </c>
      <c r="N38" s="89">
        <f>+G38+K38+L38+M38</f>
        <v>5952197.0600000005</v>
      </c>
      <c r="O38" s="89">
        <f>+H38+K38+L38+M38</f>
        <v>6026333.0025000004</v>
      </c>
      <c r="P38" s="90">
        <f>(O38-N38)/N38</f>
        <v>1.2455223130666961E-2</v>
      </c>
      <c r="Q38" s="82"/>
      <c r="S38" s="40">
        <f>$S$20</f>
        <v>330</v>
      </c>
      <c r="T38" s="25">
        <f>$T$17*E38</f>
        <v>3582110</v>
      </c>
      <c r="U38" s="25">
        <f>$U$17*($A$36*0.5)</f>
        <v>639000</v>
      </c>
      <c r="V38" s="25">
        <f>$V$17*$A$36</f>
        <v>934000</v>
      </c>
      <c r="W38" s="25">
        <f>$W$17*$A$36</f>
        <v>622000</v>
      </c>
      <c r="X38" s="25">
        <f>S38+T38+U38+V38+W38</f>
        <v>5777440</v>
      </c>
      <c r="Y38" s="25"/>
      <c r="Z38" s="25"/>
      <c r="AC38" s="40">
        <f>$AC$20</f>
        <v>329.9425</v>
      </c>
      <c r="AD38" s="25">
        <f>$AD$17*E38</f>
        <v>3263246</v>
      </c>
      <c r="AE38" s="25">
        <f>$AE$17*($A$36*0.5)</f>
        <v>780000</v>
      </c>
      <c r="AF38" s="25">
        <f>$A$36*$AF$17</f>
        <v>1160000</v>
      </c>
      <c r="AG38" s="25">
        <f>$A$36*$AG$17</f>
        <v>648000</v>
      </c>
      <c r="AH38" s="25">
        <f>AC38+AD38+AE38+AF38+AG38</f>
        <v>5851575.9424999999</v>
      </c>
      <c r="AI38" s="25"/>
      <c r="AK38" s="40">
        <f>AH38-X38</f>
        <v>74135.942499999888</v>
      </c>
      <c r="AM38" s="137">
        <f>AH38/X38-1</f>
        <v>1.2831970994073405E-2</v>
      </c>
    </row>
    <row r="39" spans="1:39" x14ac:dyDescent="0.2">
      <c r="T39" s="25"/>
      <c r="U39" s="25"/>
      <c r="V39" s="25"/>
      <c r="W39" s="25"/>
      <c r="X39" s="25"/>
      <c r="Y39" s="25"/>
      <c r="AE39" s="25"/>
    </row>
    <row r="40" spans="1:39" x14ac:dyDescent="0.2">
      <c r="A40" s="17" t="s">
        <v>314</v>
      </c>
      <c r="T40" s="25"/>
      <c r="U40" s="25"/>
      <c r="V40" s="25"/>
      <c r="W40" s="25"/>
      <c r="X40" s="25"/>
      <c r="Y40" s="25"/>
    </row>
    <row r="41" spans="1:39" x14ac:dyDescent="0.2">
      <c r="A41" s="170" t="str">
        <f>("Average usage = "&amp;INPUT!L20&amp;" kWh per month")</f>
        <v>Average usage = 0 kWh per month</v>
      </c>
      <c r="G41" s="88" t="s">
        <v>317</v>
      </c>
      <c r="T41" s="25"/>
      <c r="U41" s="25"/>
      <c r="V41" s="25"/>
      <c r="W41" s="25"/>
      <c r="X41" s="25"/>
      <c r="Y41" s="25"/>
    </row>
    <row r="42" spans="1:39" x14ac:dyDescent="0.2">
      <c r="A42" s="172" t="s">
        <v>504</v>
      </c>
      <c r="C42" s="136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AE42" s="138"/>
      <c r="AF42" s="25"/>
      <c r="AG42" s="25"/>
      <c r="AH42" s="25"/>
      <c r="AI42" s="25"/>
      <c r="AJ42" s="25"/>
      <c r="AK42" s="84"/>
    </row>
    <row r="43" spans="1:39" x14ac:dyDescent="0.2">
      <c r="A43" s="171" t="s">
        <v>318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T43" s="139"/>
      <c r="AE43" s="140"/>
    </row>
    <row r="44" spans="1:39" x14ac:dyDescent="0.2">
      <c r="A44" s="174" t="s">
        <v>127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AA44" s="86"/>
      <c r="AB44" s="83"/>
      <c r="AC44" s="86"/>
      <c r="AE44" s="86"/>
    </row>
    <row r="45" spans="1:39" x14ac:dyDescent="0.2">
      <c r="A45" s="174" t="str">
        <f>+'Rate Case Constants'!C26</f>
        <v>Calculations may vary from other schedules due to rounding</v>
      </c>
      <c r="AE45" s="140"/>
    </row>
    <row r="46" spans="1:39" x14ac:dyDescent="0.2">
      <c r="A46" s="174" t="s">
        <v>128</v>
      </c>
      <c r="S46" s="86"/>
      <c r="W46" s="86"/>
      <c r="AA46" s="86"/>
      <c r="AE46" s="140"/>
    </row>
    <row r="47" spans="1:39" x14ac:dyDescent="0.2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AA47" s="86"/>
      <c r="AB47" s="83"/>
      <c r="AC47" s="86"/>
      <c r="AE47" s="86"/>
    </row>
    <row r="48" spans="1:39" x14ac:dyDescent="0.2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A48" s="86"/>
      <c r="AB48" s="83"/>
      <c r="AC48" s="86"/>
      <c r="AE48" s="86"/>
    </row>
    <row r="49" spans="5:31" x14ac:dyDescent="0.2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T49" s="86"/>
      <c r="U49" s="86"/>
      <c r="V49" s="86"/>
      <c r="W49" s="86"/>
      <c r="X49" s="86"/>
      <c r="Y49" s="86"/>
    </row>
    <row r="50" spans="5:31" x14ac:dyDescent="0.2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S50" s="40"/>
      <c r="T50" s="139"/>
      <c r="W50" s="139"/>
      <c r="X50" s="139"/>
      <c r="Y50" s="139"/>
      <c r="AA50" s="84"/>
      <c r="AC50" s="84"/>
      <c r="AE50" s="140"/>
    </row>
    <row r="51" spans="5:31" x14ac:dyDescent="0.2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S51" s="40"/>
      <c r="T51" s="139"/>
      <c r="W51" s="139"/>
      <c r="X51" s="139"/>
      <c r="Y51" s="139"/>
      <c r="AA51" s="84"/>
      <c r="AC51" s="84"/>
      <c r="AE51" s="140"/>
    </row>
    <row r="52" spans="5:31" x14ac:dyDescent="0.2"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S52" s="40"/>
      <c r="T52" s="139"/>
      <c r="W52" s="139"/>
      <c r="X52" s="139"/>
      <c r="Y52" s="139"/>
      <c r="AA52" s="84"/>
      <c r="AC52" s="84"/>
      <c r="AE52" s="140"/>
    </row>
    <row r="53" spans="5:31" x14ac:dyDescent="0.2"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S53" s="40"/>
      <c r="T53" s="139"/>
      <c r="W53" s="139"/>
      <c r="X53" s="139"/>
      <c r="Y53" s="139"/>
      <c r="AA53" s="84"/>
      <c r="AB53" s="107"/>
      <c r="AC53" s="84"/>
      <c r="AD53" s="107"/>
      <c r="AE53" s="140"/>
    </row>
    <row r="54" spans="5:31" ht="6.75" customHeight="1" x14ac:dyDescent="0.2"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S54" s="40"/>
      <c r="T54" s="139"/>
      <c r="W54" s="139"/>
      <c r="X54" s="139"/>
      <c r="Y54" s="139"/>
      <c r="AA54" s="84"/>
      <c r="AB54" s="107"/>
      <c r="AC54" s="84"/>
      <c r="AD54" s="107"/>
      <c r="AE54" s="140"/>
    </row>
    <row r="55" spans="5:31" x14ac:dyDescent="0.2"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S55" s="40"/>
      <c r="T55" s="139"/>
      <c r="W55" s="139"/>
      <c r="X55" s="139"/>
      <c r="Y55" s="139"/>
      <c r="AA55" s="84"/>
      <c r="AC55" s="84"/>
      <c r="AE55" s="140"/>
    </row>
    <row r="56" spans="5:31" x14ac:dyDescent="0.2"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S56" s="40"/>
      <c r="T56" s="139"/>
      <c r="W56" s="139"/>
      <c r="X56" s="139"/>
      <c r="Y56" s="139"/>
      <c r="AA56" s="84"/>
      <c r="AC56" s="84"/>
      <c r="AE56" s="140"/>
    </row>
    <row r="57" spans="5:31" x14ac:dyDescent="0.2"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S57" s="40"/>
      <c r="T57" s="139"/>
      <c r="W57" s="139"/>
      <c r="X57" s="139"/>
      <c r="Y57" s="139"/>
      <c r="AA57" s="84"/>
      <c r="AC57" s="84"/>
      <c r="AE57" s="140"/>
    </row>
    <row r="58" spans="5:31" x14ac:dyDescent="0.2"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S58" s="40"/>
      <c r="T58" s="139"/>
      <c r="W58" s="139"/>
      <c r="X58" s="139"/>
      <c r="Y58" s="139"/>
      <c r="AA58" s="84"/>
      <c r="AC58" s="84"/>
      <c r="AE58" s="140"/>
    </row>
    <row r="59" spans="5:31" x14ac:dyDescent="0.2"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S59" s="40"/>
      <c r="T59" s="139"/>
      <c r="W59" s="139"/>
      <c r="X59" s="139"/>
      <c r="Y59" s="139"/>
      <c r="AA59" s="84"/>
      <c r="AC59" s="84"/>
      <c r="AE59" s="140"/>
    </row>
    <row r="60" spans="5:31" ht="6.75" customHeight="1" x14ac:dyDescent="0.2"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S60" s="40"/>
      <c r="T60" s="139"/>
      <c r="W60" s="139"/>
      <c r="X60" s="139"/>
      <c r="Y60" s="139"/>
      <c r="AA60" s="84"/>
      <c r="AC60" s="84"/>
      <c r="AE60" s="140"/>
    </row>
    <row r="61" spans="5:31" x14ac:dyDescent="0.2"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S61" s="40"/>
      <c r="T61" s="139"/>
      <c r="W61" s="139"/>
      <c r="X61" s="139"/>
      <c r="Y61" s="139"/>
      <c r="AA61" s="84"/>
      <c r="AC61" s="84"/>
      <c r="AE61" s="140"/>
    </row>
    <row r="62" spans="5:31" x14ac:dyDescent="0.2"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S62" s="40"/>
      <c r="T62" s="139"/>
      <c r="W62" s="139"/>
      <c r="X62" s="139"/>
      <c r="Y62" s="139"/>
      <c r="AA62" s="84"/>
      <c r="AC62" s="84"/>
      <c r="AE62" s="140"/>
    </row>
    <row r="63" spans="5:31" x14ac:dyDescent="0.2"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S63" s="40"/>
      <c r="T63" s="139"/>
      <c r="W63" s="139"/>
      <c r="X63" s="139"/>
      <c r="Y63" s="139"/>
      <c r="AA63" s="84"/>
      <c r="AC63" s="84"/>
      <c r="AE63" s="140"/>
    </row>
    <row r="64" spans="5:31" x14ac:dyDescent="0.2"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S64" s="40"/>
      <c r="T64" s="139"/>
      <c r="W64" s="139"/>
      <c r="X64" s="139"/>
      <c r="Y64" s="139"/>
      <c r="AA64" s="84"/>
      <c r="AC64" s="84"/>
      <c r="AE64" s="140"/>
    </row>
    <row r="65" spans="5:35" x14ac:dyDescent="0.2"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T65" s="86"/>
      <c r="U65" s="86"/>
      <c r="V65" s="86"/>
      <c r="W65" s="86"/>
      <c r="X65" s="86"/>
      <c r="Y65" s="86"/>
    </row>
    <row r="66" spans="5:35" x14ac:dyDescent="0.2"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T66" s="86"/>
      <c r="U66" s="86"/>
      <c r="V66" s="86"/>
      <c r="W66" s="86"/>
      <c r="X66" s="86"/>
      <c r="Y66" s="86"/>
    </row>
    <row r="67" spans="5:35" x14ac:dyDescent="0.2"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AE67" s="140"/>
    </row>
    <row r="68" spans="5:35" x14ac:dyDescent="0.2">
      <c r="AH68" s="141"/>
      <c r="AI68" s="141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ColWidth="9.140625" defaultRowHeight="12.75" x14ac:dyDescent="0.2"/>
  <cols>
    <col min="1" max="1" width="10.42578125" style="17" customWidth="1"/>
    <col min="2" max="2" width="3.7109375" style="17" customWidth="1"/>
    <col min="3" max="3" width="6.5703125" style="17" customWidth="1"/>
    <col min="4" max="4" width="1.85546875" style="17" customWidth="1"/>
    <col min="5" max="5" width="12" style="17" bestFit="1" customWidth="1"/>
    <col min="6" max="6" width="2" style="17" customWidth="1"/>
    <col min="7" max="7" width="15.140625" style="17" bestFit="1" customWidth="1"/>
    <col min="8" max="8" width="14.7109375" style="17" customWidth="1"/>
    <col min="9" max="9" width="14.85546875" style="17" customWidth="1"/>
    <col min="10" max="10" width="9.85546875" style="17" customWidth="1"/>
    <col min="11" max="11" width="13.42578125" style="17" bestFit="1" customWidth="1"/>
    <col min="12" max="12" width="6.5703125" style="17" bestFit="1" customWidth="1"/>
    <col min="13" max="13" width="12.28515625" style="17" bestFit="1" customWidth="1"/>
    <col min="14" max="15" width="15.140625" style="17" bestFit="1" customWidth="1"/>
    <col min="16" max="18" width="9.85546875" style="17" customWidth="1"/>
    <col min="19" max="19" width="10" style="17" customWidth="1"/>
    <col min="20" max="20" width="14.42578125" style="17" bestFit="1" customWidth="1"/>
    <col min="21" max="21" width="12.7109375" style="17" bestFit="1" customWidth="1"/>
    <col min="22" max="22" width="13.85546875" style="17" bestFit="1" customWidth="1"/>
    <col min="23" max="23" width="12.7109375" style="17" bestFit="1" customWidth="1"/>
    <col min="24" max="24" width="14.42578125" style="17" bestFit="1" customWidth="1"/>
    <col min="25" max="25" width="3.140625" style="17" customWidth="1"/>
    <col min="26" max="26" width="14.42578125" style="17" customWidth="1"/>
    <col min="27" max="27" width="3.85546875" style="17" customWidth="1"/>
    <col min="28" max="28" width="2.42578125" style="17" customWidth="1"/>
    <col min="29" max="30" width="14.42578125" style="17" bestFit="1" customWidth="1"/>
    <col min="31" max="31" width="12.7109375" style="17" bestFit="1" customWidth="1"/>
    <col min="32" max="32" width="13.85546875" style="17" bestFit="1" customWidth="1"/>
    <col min="33" max="33" width="12.7109375" style="17" bestFit="1" customWidth="1"/>
    <col min="34" max="35" width="14.42578125" style="17" bestFit="1" customWidth="1"/>
    <col min="36" max="36" width="11.140625" style="17" customWidth="1"/>
    <col min="37" max="37" width="11.42578125" style="17" bestFit="1" customWidth="1"/>
    <col min="38" max="38" width="10.7109375" style="17" customWidth="1"/>
    <col min="39" max="39" width="11.42578125" style="17" bestFit="1" customWidth="1"/>
    <col min="40" max="16384" width="9.140625" style="17"/>
  </cols>
  <sheetData>
    <row r="1" spans="1:39" x14ac:dyDescent="0.2">
      <c r="A1" s="426" t="str">
        <f>+'Rate Case Constants'!C9</f>
        <v>LOUISVILLE GAS AND ELECTRIC COMPANY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39" x14ac:dyDescent="0.2">
      <c r="A2" s="426" t="str">
        <f>+'Rate Case Constants'!C10</f>
        <v>CASE NO. 2018-00295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39" x14ac:dyDescent="0.2">
      <c r="A3" s="428" t="str">
        <f>+'Rate Case Constants'!C24</f>
        <v>Typical Bill Comparison under Present &amp; Proposed Rates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39" x14ac:dyDescent="0.2">
      <c r="A4" s="426" t="str">
        <f>+'Rate Case Constants'!C21</f>
        <v>FORECAST PERIOD FOR THE 12 MONTHS ENDED APRIL 30, 2020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</row>
    <row r="5" spans="1:39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9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39" x14ac:dyDescent="0.2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235" t="str">
        <f>+'Rate Case Constants'!C25</f>
        <v>SCHEDULE N</v>
      </c>
    </row>
    <row r="8" spans="1:39" x14ac:dyDescent="0.2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36"/>
      <c r="M8" s="83"/>
      <c r="N8" s="83"/>
      <c r="O8" s="83"/>
      <c r="P8" s="236" t="str">
        <f>+'Rate Case Constants'!L20</f>
        <v>PAGE 13 of 26</v>
      </c>
    </row>
    <row r="9" spans="1:39" x14ac:dyDescent="0.2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36" t="str">
        <f>+'Rate Case Constants'!C36</f>
        <v>WITNESS:   R. M. CONROY</v>
      </c>
    </row>
    <row r="10" spans="1:39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S10" s="83" t="s">
        <v>70</v>
      </c>
      <c r="T10" s="17">
        <f>+INPUT!G63</f>
        <v>-5.7402338431805297E-4</v>
      </c>
    </row>
    <row r="11" spans="1:39" x14ac:dyDescent="0.2">
      <c r="A11" s="182" t="s">
        <v>383</v>
      </c>
      <c r="S11" s="83" t="s">
        <v>72</v>
      </c>
      <c r="T11" s="17">
        <f>+INPUT!H63</f>
        <v>0</v>
      </c>
      <c r="V11" s="132" t="s">
        <v>128</v>
      </c>
      <c r="AD11" s="132" t="s">
        <v>128</v>
      </c>
    </row>
    <row r="12" spans="1:39" x14ac:dyDescent="0.2"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 t="s">
        <v>71</v>
      </c>
      <c r="T12" s="17">
        <f>+INPUT!I63</f>
        <v>1.9413554738648355E-3</v>
      </c>
    </row>
    <row r="13" spans="1:39" x14ac:dyDescent="0.2">
      <c r="A13" s="85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U13" s="322" t="s">
        <v>1</v>
      </c>
      <c r="V13" s="322" t="s">
        <v>1</v>
      </c>
      <c r="W13" s="322" t="s">
        <v>1</v>
      </c>
      <c r="Z13" s="322" t="s">
        <v>71</v>
      </c>
      <c r="AD13" s="25"/>
      <c r="AE13" s="133" t="s">
        <v>9</v>
      </c>
      <c r="AF13" s="133" t="s">
        <v>9</v>
      </c>
      <c r="AG13" s="133" t="s">
        <v>9</v>
      </c>
      <c r="AH13" s="25"/>
      <c r="AI13" s="322" t="s">
        <v>71</v>
      </c>
    </row>
    <row r="14" spans="1:39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22" t="s">
        <v>1</v>
      </c>
      <c r="T14" s="322" t="s">
        <v>1</v>
      </c>
      <c r="U14" s="322" t="s">
        <v>34</v>
      </c>
      <c r="V14" s="322" t="s">
        <v>30</v>
      </c>
      <c r="W14" s="322" t="s">
        <v>22</v>
      </c>
      <c r="X14" s="322" t="s">
        <v>1</v>
      </c>
      <c r="Y14" s="322"/>
      <c r="Z14" s="322" t="s">
        <v>1</v>
      </c>
      <c r="AC14" s="322" t="s">
        <v>9</v>
      </c>
      <c r="AD14" s="322" t="s">
        <v>9</v>
      </c>
      <c r="AE14" s="133" t="s">
        <v>34</v>
      </c>
      <c r="AF14" s="133" t="s">
        <v>30</v>
      </c>
      <c r="AG14" s="133" t="s">
        <v>22</v>
      </c>
      <c r="AH14" s="133" t="s">
        <v>9</v>
      </c>
      <c r="AI14" s="322" t="s">
        <v>1</v>
      </c>
      <c r="AK14" s="322"/>
    </row>
    <row r="15" spans="1:39" x14ac:dyDescent="0.2">
      <c r="C15" s="322" t="s">
        <v>23</v>
      </c>
      <c r="E15" s="322"/>
      <c r="F15" s="322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22"/>
      <c r="R15" s="322"/>
      <c r="S15" s="322" t="s">
        <v>2</v>
      </c>
      <c r="T15" s="322" t="s">
        <v>57</v>
      </c>
      <c r="U15" s="322" t="s">
        <v>25</v>
      </c>
      <c r="V15" s="322" t="s">
        <v>25</v>
      </c>
      <c r="W15" s="322" t="s">
        <v>18</v>
      </c>
      <c r="X15" s="322" t="s">
        <v>5</v>
      </c>
      <c r="Y15" s="322"/>
      <c r="Z15" s="322" t="s">
        <v>75</v>
      </c>
      <c r="AC15" s="87" t="s">
        <v>56</v>
      </c>
      <c r="AD15" s="322" t="s">
        <v>57</v>
      </c>
      <c r="AE15" s="133" t="s">
        <v>25</v>
      </c>
      <c r="AF15" s="133" t="s">
        <v>25</v>
      </c>
      <c r="AG15" s="133" t="s">
        <v>18</v>
      </c>
      <c r="AH15" s="133" t="s">
        <v>5</v>
      </c>
      <c r="AI15" s="322" t="s">
        <v>75</v>
      </c>
      <c r="AK15" s="322" t="s">
        <v>6</v>
      </c>
      <c r="AL15" s="322"/>
      <c r="AM15" s="322" t="s">
        <v>8</v>
      </c>
    </row>
    <row r="16" spans="1:39" x14ac:dyDescent="0.2">
      <c r="A16" s="322" t="s">
        <v>26</v>
      </c>
      <c r="C16" s="322" t="s">
        <v>24</v>
      </c>
      <c r="E16" s="322" t="s">
        <v>0</v>
      </c>
      <c r="F16" s="322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22"/>
      <c r="R16" s="322"/>
      <c r="S16" s="87" t="s">
        <v>3</v>
      </c>
      <c r="T16" s="322" t="s">
        <v>3</v>
      </c>
      <c r="U16" s="322" t="s">
        <v>3</v>
      </c>
      <c r="V16" s="322" t="s">
        <v>3</v>
      </c>
      <c r="W16" s="322" t="s">
        <v>3</v>
      </c>
      <c r="X16" s="322" t="s">
        <v>4</v>
      </c>
      <c r="Y16" s="322"/>
      <c r="Z16" s="322" t="s">
        <v>3</v>
      </c>
      <c r="AC16" s="87" t="s">
        <v>3</v>
      </c>
      <c r="AD16" s="322" t="s">
        <v>3</v>
      </c>
      <c r="AE16" s="133" t="s">
        <v>3</v>
      </c>
      <c r="AF16" s="133" t="s">
        <v>3</v>
      </c>
      <c r="AG16" s="133" t="s">
        <v>3</v>
      </c>
      <c r="AH16" s="133" t="s">
        <v>4</v>
      </c>
      <c r="AI16" s="322" t="s">
        <v>3</v>
      </c>
      <c r="AK16" s="322" t="s">
        <v>7</v>
      </c>
      <c r="AL16" s="322"/>
      <c r="AM16" s="322" t="s">
        <v>7</v>
      </c>
    </row>
    <row r="17" spans="1:39" x14ac:dyDescent="0.2">
      <c r="A17" s="322"/>
      <c r="C17" s="322"/>
      <c r="E17" s="322"/>
      <c r="F17" s="322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22"/>
      <c r="R17" s="322"/>
      <c r="S17" s="87"/>
      <c r="T17" s="134">
        <f>+INPUT!$N$6</f>
        <v>3.56E-2</v>
      </c>
      <c r="U17" s="135">
        <f>+INPUT!$N$14</f>
        <v>0</v>
      </c>
      <c r="V17" s="135">
        <f>+INPUT!$N$15</f>
        <v>0</v>
      </c>
      <c r="W17" s="135">
        <f>+INPUT!$N$16</f>
        <v>14.23</v>
      </c>
      <c r="X17" s="322"/>
      <c r="Y17" s="322"/>
      <c r="Z17" s="134"/>
      <c r="AC17" s="87"/>
      <c r="AD17" s="134">
        <f>+INPUT!$N$28</f>
        <v>3.175E-2</v>
      </c>
      <c r="AE17" s="135">
        <f>+INPUT!$N$35</f>
        <v>0</v>
      </c>
      <c r="AF17" s="135">
        <f>+INPUT!$N$36</f>
        <v>0</v>
      </c>
      <c r="AG17" s="135">
        <f>+INPUT!$N$37</f>
        <v>17.059999999999999</v>
      </c>
      <c r="AH17" s="133"/>
      <c r="AI17" s="134"/>
      <c r="AK17" s="322"/>
      <c r="AL17" s="322"/>
      <c r="AM17" s="322"/>
    </row>
    <row r="18" spans="1:39" x14ac:dyDescent="0.2">
      <c r="A18" s="177"/>
      <c r="B18" s="177"/>
      <c r="C18" s="97"/>
      <c r="D18" s="177"/>
      <c r="E18" s="97"/>
      <c r="F18" s="97"/>
      <c r="G18" s="321"/>
      <c r="H18" s="321"/>
      <c r="I18" s="321" t="str">
        <f>("[ "&amp;H13&amp;" - "&amp;G13&amp;" ]")</f>
        <v>[ B - A ]</v>
      </c>
      <c r="J18" s="321" t="str">
        <f>("[ "&amp;I13&amp;" / "&amp;G13&amp;" ]")</f>
        <v>[ C / A ]</v>
      </c>
      <c r="K18" s="262"/>
      <c r="L18" s="262"/>
      <c r="M18" s="262"/>
      <c r="N18" s="321" t="str">
        <f>("["&amp;G13&amp;"+"&amp;$K$13&amp;"+"&amp;$L$13&amp;"+"&amp;$M$13&amp;"]")</f>
        <v>[A+E+F+G]</v>
      </c>
      <c r="O18" s="321" t="str">
        <f>("["&amp;H13&amp;"+"&amp;$K$13&amp;"+"&amp;$L$13&amp;"+"&amp;$M$13&amp;"]")</f>
        <v>[B+E+F+G]</v>
      </c>
      <c r="P18" s="321" t="str">
        <f>("[("&amp;O13&amp;" - "&amp;N13&amp;")/"&amp;N13&amp;"]")</f>
        <v>[(I - H)/H]</v>
      </c>
      <c r="Q18" s="322"/>
      <c r="R18" s="322"/>
      <c r="T18" s="322" t="s">
        <v>14</v>
      </c>
      <c r="U18" s="322" t="s">
        <v>59</v>
      </c>
      <c r="V18" s="322" t="s">
        <v>59</v>
      </c>
      <c r="W18" s="322" t="s">
        <v>59</v>
      </c>
      <c r="X18" s="322"/>
      <c r="Y18" s="322"/>
      <c r="Z18" s="322" t="s">
        <v>14</v>
      </c>
      <c r="AC18" s="87"/>
      <c r="AD18" s="322" t="s">
        <v>14</v>
      </c>
      <c r="AE18" s="322" t="s">
        <v>59</v>
      </c>
      <c r="AF18" s="322" t="s">
        <v>59</v>
      </c>
      <c r="AG18" s="322" t="s">
        <v>59</v>
      </c>
      <c r="AH18" s="133"/>
      <c r="AI18" s="322" t="s">
        <v>14</v>
      </c>
      <c r="AK18" s="322"/>
      <c r="AL18" s="322"/>
      <c r="AM18" s="322"/>
    </row>
    <row r="19" spans="1:39" x14ac:dyDescent="0.2">
      <c r="C19" s="322"/>
      <c r="E19" s="322"/>
      <c r="F19" s="322"/>
      <c r="G19" s="323"/>
      <c r="H19" s="323"/>
      <c r="I19" s="164"/>
      <c r="J19" s="164"/>
      <c r="K19" s="323"/>
      <c r="L19" s="323"/>
      <c r="M19" s="323"/>
      <c r="N19" s="164"/>
      <c r="O19" s="323"/>
      <c r="P19" s="164"/>
      <c r="Q19" s="322"/>
      <c r="R19" s="322"/>
      <c r="U19" s="322"/>
      <c r="V19" s="322"/>
      <c r="W19" s="322"/>
      <c r="X19" s="322"/>
      <c r="Y19" s="322"/>
      <c r="AC19" s="87"/>
      <c r="AD19" s="322"/>
      <c r="AE19" s="133"/>
      <c r="AF19" s="133"/>
      <c r="AG19" s="133"/>
      <c r="AH19" s="133"/>
      <c r="AK19" s="322"/>
      <c r="AL19" s="322"/>
      <c r="AM19" s="322"/>
    </row>
    <row r="20" spans="1:39" x14ac:dyDescent="0.2">
      <c r="A20" s="82">
        <v>5000</v>
      </c>
      <c r="B20" s="82"/>
      <c r="C20" s="136">
        <v>0.3</v>
      </c>
      <c r="E20" s="82">
        <f>C20*($A$20*730)</f>
        <v>1095000</v>
      </c>
      <c r="F20" s="82"/>
      <c r="G20" s="89">
        <f>+X20</f>
        <v>110132</v>
      </c>
      <c r="H20" s="89">
        <f>+AH20</f>
        <v>120066.25</v>
      </c>
      <c r="I20" s="89">
        <f>+H20-G20</f>
        <v>9934.25</v>
      </c>
      <c r="J20" s="90">
        <f>ROUND(+I20/G20,4)</f>
        <v>9.0200000000000002E-2</v>
      </c>
      <c r="K20" s="89">
        <f>ROUND($T$10*$E20,2)</f>
        <v>-628.55999999999995</v>
      </c>
      <c r="L20" s="89">
        <f>ROUND($T$11*$E20,2)</f>
        <v>0</v>
      </c>
      <c r="M20" s="89">
        <f>ROUND($T$12*$E20,2)</f>
        <v>2125.7800000000002</v>
      </c>
      <c r="N20" s="89">
        <f>+G20+K20+L20+M20</f>
        <v>111629.22</v>
      </c>
      <c r="O20" s="89">
        <f>+H20+K20+L20+M20</f>
        <v>121563.47</v>
      </c>
      <c r="P20" s="90">
        <f>(O20-N20)/N20</f>
        <v>8.8993276133256152E-2</v>
      </c>
      <c r="Q20" s="82"/>
      <c r="S20" s="40">
        <f>+INPUT!$N$4</f>
        <v>0</v>
      </c>
      <c r="T20" s="25">
        <f>$T$17*E20</f>
        <v>38982</v>
      </c>
      <c r="U20" s="25">
        <f>$U$17*($A$20*0.5)</f>
        <v>0</v>
      </c>
      <c r="V20" s="25">
        <f>$V$17*$A$20</f>
        <v>0</v>
      </c>
      <c r="W20" s="25">
        <f>$W$17*$A$20</f>
        <v>71150</v>
      </c>
      <c r="X20" s="25">
        <f>S20+T20+U20+V20+W20</f>
        <v>110132</v>
      </c>
      <c r="Y20" s="25"/>
      <c r="Z20" s="25"/>
      <c r="AC20" s="40">
        <f>INPUT!$N$26</f>
        <v>0</v>
      </c>
      <c r="AD20" s="25">
        <f>$AD$17*E20</f>
        <v>34766.25</v>
      </c>
      <c r="AE20" s="25">
        <f>$AE$17*($A$20*0.5)</f>
        <v>0</v>
      </c>
      <c r="AF20" s="25">
        <f>$A$20*$AF$17</f>
        <v>0</v>
      </c>
      <c r="AG20" s="25">
        <f>$A$20*$AG$17</f>
        <v>85300</v>
      </c>
      <c r="AH20" s="25">
        <f>AC20+AD20+AE20+AF20+AG20</f>
        <v>120066.25</v>
      </c>
      <c r="AI20" s="25"/>
      <c r="AK20" s="40">
        <f>AH20-X20</f>
        <v>9934.25</v>
      </c>
      <c r="AM20" s="137">
        <f>AH20/X20-1</f>
        <v>9.0203119892492634E-2</v>
      </c>
    </row>
    <row r="21" spans="1:39" x14ac:dyDescent="0.2">
      <c r="C21" s="136">
        <v>0.5</v>
      </c>
      <c r="E21" s="82">
        <f>C21*($A$20*730)</f>
        <v>1825000</v>
      </c>
      <c r="F21" s="82"/>
      <c r="G21" s="89">
        <f t="shared" ref="G21:G38" si="0">+X21</f>
        <v>136120</v>
      </c>
      <c r="H21" s="89">
        <f>+AH21</f>
        <v>143243.75</v>
      </c>
      <c r="I21" s="89">
        <f>+H21-G21</f>
        <v>7123.75</v>
      </c>
      <c r="J21" s="90">
        <f>ROUND(+I21/G21,4)</f>
        <v>5.2299999999999999E-2</v>
      </c>
      <c r="K21" s="89">
        <f>ROUND($T$10*$E21,2)</f>
        <v>-1047.5899999999999</v>
      </c>
      <c r="L21" s="89">
        <f>ROUND($T$11*$E21,2)</f>
        <v>0</v>
      </c>
      <c r="M21" s="89">
        <f>ROUND($T$12*$E21,2)</f>
        <v>3542.97</v>
      </c>
      <c r="N21" s="89">
        <f>+G21+K21+L21+M21</f>
        <v>138615.38</v>
      </c>
      <c r="O21" s="89">
        <f>+H21+K21+L21+M21</f>
        <v>145739.13</v>
      </c>
      <c r="P21" s="90">
        <f>(O21-N21)/N21</f>
        <v>5.1392204818830348E-2</v>
      </c>
      <c r="Q21" s="82"/>
      <c r="S21" s="40">
        <f>$S$20</f>
        <v>0</v>
      </c>
      <c r="T21" s="25">
        <f>$T$17*E21</f>
        <v>64970</v>
      </c>
      <c r="U21" s="25">
        <f>$U$17*($A$20*0.5)</f>
        <v>0</v>
      </c>
      <c r="V21" s="25">
        <f>$V$17*$A$20</f>
        <v>0</v>
      </c>
      <c r="W21" s="25">
        <f>$W$17*$A$20</f>
        <v>71150</v>
      </c>
      <c r="X21" s="25">
        <f>S21+T21+U21+V21+W21</f>
        <v>136120</v>
      </c>
      <c r="Y21" s="25"/>
      <c r="Z21" s="25"/>
      <c r="AC21" s="40">
        <f>$AC$20</f>
        <v>0</v>
      </c>
      <c r="AD21" s="25">
        <f>$AD$17*E21</f>
        <v>57943.75</v>
      </c>
      <c r="AE21" s="25">
        <f>$AE$17*($A$20*0.5)</f>
        <v>0</v>
      </c>
      <c r="AF21" s="25">
        <f>$A$20*$AF$17</f>
        <v>0</v>
      </c>
      <c r="AG21" s="25">
        <f>$A$20*$AG$17</f>
        <v>85300</v>
      </c>
      <c r="AH21" s="25">
        <f>AC21+AD21+AE21+AF21+AG21</f>
        <v>143243.75</v>
      </c>
      <c r="AI21" s="25"/>
      <c r="AK21" s="40">
        <f>AH21-X21</f>
        <v>7123.75</v>
      </c>
      <c r="AM21" s="137">
        <f>AH21/X21-1</f>
        <v>5.233433734939763E-2</v>
      </c>
    </row>
    <row r="22" spans="1:39" x14ac:dyDescent="0.2">
      <c r="C22" s="136">
        <v>0.7</v>
      </c>
      <c r="E22" s="82">
        <f>C22*($A$20*730)</f>
        <v>2555000</v>
      </c>
      <c r="F22" s="82"/>
      <c r="G22" s="89">
        <f t="shared" si="0"/>
        <v>162108</v>
      </c>
      <c r="H22" s="89">
        <f>+AH22</f>
        <v>166421.25</v>
      </c>
      <c r="I22" s="89">
        <f>+H22-G22</f>
        <v>4313.25</v>
      </c>
      <c r="J22" s="90">
        <f>ROUND(+I22/G22,4)</f>
        <v>2.6599999999999999E-2</v>
      </c>
      <c r="K22" s="89">
        <f>ROUND($T$10*$E22,2)</f>
        <v>-1466.63</v>
      </c>
      <c r="L22" s="89">
        <f>ROUND($T$11*$E22,2)</f>
        <v>0</v>
      </c>
      <c r="M22" s="89">
        <f>ROUND($T$12*$E22,2)</f>
        <v>4960.16</v>
      </c>
      <c r="N22" s="89">
        <f>+G22+K22+L22+M22</f>
        <v>165601.53</v>
      </c>
      <c r="O22" s="89">
        <f>+H22+K22+L22+M22</f>
        <v>169914.78</v>
      </c>
      <c r="P22" s="90">
        <f>(O22-N22)/N22</f>
        <v>2.6045955010198275E-2</v>
      </c>
      <c r="Q22" s="82"/>
      <c r="S22" s="40">
        <f>$S$20</f>
        <v>0</v>
      </c>
      <c r="T22" s="25">
        <f>$T$17*E22</f>
        <v>90958</v>
      </c>
      <c r="U22" s="25">
        <f>$U$17*($A$20*0.5)</f>
        <v>0</v>
      </c>
      <c r="V22" s="25">
        <f>$V$17*$A$20</f>
        <v>0</v>
      </c>
      <c r="W22" s="25">
        <f>$W$17*$A$20</f>
        <v>71150</v>
      </c>
      <c r="X22" s="25">
        <f>S22+T22+U22+V22+W22</f>
        <v>162108</v>
      </c>
      <c r="Y22" s="25"/>
      <c r="Z22" s="25"/>
      <c r="AC22" s="40">
        <f>$AC$20</f>
        <v>0</v>
      </c>
      <c r="AD22" s="25">
        <f>$AD$17*E22</f>
        <v>81121.25</v>
      </c>
      <c r="AE22" s="25">
        <f>$AE$17*($A$20*0.5)</f>
        <v>0</v>
      </c>
      <c r="AF22" s="25">
        <f>$A$20*$AF$17</f>
        <v>0</v>
      </c>
      <c r="AG22" s="25">
        <f>$A$20*$AG$17</f>
        <v>85300</v>
      </c>
      <c r="AH22" s="25">
        <f>AC22+AD22+AE22+AF22+AG22</f>
        <v>166421.25</v>
      </c>
      <c r="AI22" s="25"/>
      <c r="AK22" s="40">
        <f>AH22-X22</f>
        <v>4313.25</v>
      </c>
      <c r="AM22" s="137">
        <f>AH22/X22-1</f>
        <v>2.6607261825449591E-2</v>
      </c>
    </row>
    <row r="23" spans="1:39" x14ac:dyDescent="0.2">
      <c r="C23" s="136"/>
      <c r="E23" s="82"/>
      <c r="F23" s="82"/>
      <c r="G23" s="89"/>
      <c r="H23" s="89"/>
      <c r="J23" s="233"/>
      <c r="K23" s="82"/>
      <c r="L23" s="82"/>
      <c r="M23" s="82"/>
      <c r="P23" s="90"/>
      <c r="Q23" s="82"/>
      <c r="S23" s="40"/>
      <c r="T23" s="25"/>
      <c r="U23" s="25"/>
      <c r="V23" s="25"/>
      <c r="W23" s="25"/>
      <c r="X23" s="25"/>
      <c r="Y23" s="25"/>
      <c r="AC23" s="40"/>
      <c r="AD23" s="25"/>
      <c r="AE23" s="25"/>
      <c r="AF23" s="25"/>
      <c r="AG23" s="25"/>
      <c r="AH23" s="25"/>
      <c r="AK23" s="84"/>
      <c r="AM23" s="84"/>
    </row>
    <row r="24" spans="1:39" x14ac:dyDescent="0.2">
      <c r="A24" s="82">
        <v>7500</v>
      </c>
      <c r="B24" s="82"/>
      <c r="C24" s="136">
        <v>0.3</v>
      </c>
      <c r="E24" s="82">
        <f>C24*($A$24*730)</f>
        <v>1642500</v>
      </c>
      <c r="F24" s="82"/>
      <c r="G24" s="89">
        <f t="shared" si="0"/>
        <v>165198</v>
      </c>
      <c r="H24" s="89">
        <f>+AH24</f>
        <v>180099.375</v>
      </c>
      <c r="I24" s="89">
        <f>+H24-G24</f>
        <v>14901.375</v>
      </c>
      <c r="J24" s="90">
        <f>ROUND(+I24/G24,4)</f>
        <v>9.0200000000000002E-2</v>
      </c>
      <c r="K24" s="89">
        <f>ROUND($T$10*$E24,2)</f>
        <v>-942.83</v>
      </c>
      <c r="L24" s="89">
        <f>ROUND($T$11*$E24,2)</f>
        <v>0</v>
      </c>
      <c r="M24" s="89">
        <f>ROUND($T$12*$E24,2)</f>
        <v>3188.68</v>
      </c>
      <c r="N24" s="89">
        <f>+G24+K24+L24+M24</f>
        <v>167443.85</v>
      </c>
      <c r="O24" s="89">
        <f>+H24+K24+L24+M24</f>
        <v>182345.22500000001</v>
      </c>
      <c r="P24" s="90">
        <f>(O24-N24)/N24</f>
        <v>8.8993265503630015E-2</v>
      </c>
      <c r="Q24" s="82"/>
      <c r="S24" s="40">
        <f>$S$20</f>
        <v>0</v>
      </c>
      <c r="T24" s="25">
        <f>$T$17*E24</f>
        <v>58473</v>
      </c>
      <c r="U24" s="25">
        <f>$U$17*($A$24*0.5)</f>
        <v>0</v>
      </c>
      <c r="V24" s="25">
        <f>$V$17*$A$24</f>
        <v>0</v>
      </c>
      <c r="W24" s="25">
        <f>$W$17*$A$24</f>
        <v>106725</v>
      </c>
      <c r="X24" s="25">
        <f>S24+T24+U24+V24+W24</f>
        <v>165198</v>
      </c>
      <c r="Y24" s="25"/>
      <c r="Z24" s="25"/>
      <c r="AC24" s="40">
        <f>$AC$20</f>
        <v>0</v>
      </c>
      <c r="AD24" s="25">
        <f>$AD$17*E24</f>
        <v>52149.375</v>
      </c>
      <c r="AE24" s="25">
        <f>$AE$17*($A$24*0.5)</f>
        <v>0</v>
      </c>
      <c r="AF24" s="25">
        <f>$A$24*$AF$17</f>
        <v>0</v>
      </c>
      <c r="AG24" s="25">
        <f>$A$24*$AG$17</f>
        <v>127949.99999999999</v>
      </c>
      <c r="AH24" s="25">
        <f>AC24+AD24+AE24+AF24+AG24</f>
        <v>180099.375</v>
      </c>
      <c r="AI24" s="25"/>
      <c r="AK24" s="40">
        <f>AH24-X24</f>
        <v>14901.375</v>
      </c>
      <c r="AL24" s="107"/>
      <c r="AM24" s="137">
        <f>AH24/X24-1</f>
        <v>9.0203119892492634E-2</v>
      </c>
    </row>
    <row r="25" spans="1:39" x14ac:dyDescent="0.2">
      <c r="C25" s="136">
        <v>0.5</v>
      </c>
      <c r="E25" s="82">
        <f>C25*($A$24*730)</f>
        <v>2737500</v>
      </c>
      <c r="F25" s="82"/>
      <c r="G25" s="89">
        <f t="shared" si="0"/>
        <v>204180</v>
      </c>
      <c r="H25" s="89">
        <f>+AH25</f>
        <v>214865.625</v>
      </c>
      <c r="I25" s="89">
        <f>+H25-G25</f>
        <v>10685.625</v>
      </c>
      <c r="J25" s="90">
        <f>ROUND(+I25/G25,4)</f>
        <v>5.2299999999999999E-2</v>
      </c>
      <c r="K25" s="89">
        <f>ROUND($T$10*$E25,2)</f>
        <v>-1571.39</v>
      </c>
      <c r="L25" s="89">
        <f>ROUND($T$11*$E25,2)</f>
        <v>0</v>
      </c>
      <c r="M25" s="89">
        <f>ROUND($T$12*$E25,2)</f>
        <v>5314.46</v>
      </c>
      <c r="N25" s="89">
        <f>+G25+K25+L25+M25</f>
        <v>207923.06999999998</v>
      </c>
      <c r="O25" s="89">
        <f>+H25+K25+L25+M25</f>
        <v>218608.69499999998</v>
      </c>
      <c r="P25" s="90">
        <f>(O25-N25)/N25</f>
        <v>5.1392204818830355E-2</v>
      </c>
      <c r="Q25" s="82"/>
      <c r="S25" s="40">
        <f>$S$20</f>
        <v>0</v>
      </c>
      <c r="T25" s="25">
        <f>$T$17*E25</f>
        <v>97455</v>
      </c>
      <c r="U25" s="25">
        <f>$U$17*($A$24*0.5)</f>
        <v>0</v>
      </c>
      <c r="V25" s="25">
        <f>$V$17*$A$24</f>
        <v>0</v>
      </c>
      <c r="W25" s="25">
        <f>$W$17*$A$24</f>
        <v>106725</v>
      </c>
      <c r="X25" s="25">
        <f>S25+T25+U25+V25+W25</f>
        <v>204180</v>
      </c>
      <c r="Y25" s="25"/>
      <c r="Z25" s="25"/>
      <c r="AC25" s="40">
        <f>$AC$20</f>
        <v>0</v>
      </c>
      <c r="AD25" s="25">
        <f>$AD$17*E25</f>
        <v>86915.625</v>
      </c>
      <c r="AE25" s="25">
        <f>$AE$17*($A$24*0.5)</f>
        <v>0</v>
      </c>
      <c r="AF25" s="25">
        <f>$A$24*$AF$17</f>
        <v>0</v>
      </c>
      <c r="AG25" s="25">
        <f>$A$24*$AG$17</f>
        <v>127949.99999999999</v>
      </c>
      <c r="AH25" s="25">
        <f>AC25+AD25+AE25+AF25+AG25</f>
        <v>214865.625</v>
      </c>
      <c r="AI25" s="25"/>
      <c r="AK25" s="40">
        <f>AH25-X25</f>
        <v>10685.625</v>
      </c>
      <c r="AL25" s="107"/>
      <c r="AM25" s="137">
        <f>AH25/X25-1</f>
        <v>5.233433734939763E-2</v>
      </c>
    </row>
    <row r="26" spans="1:39" x14ac:dyDescent="0.2">
      <c r="C26" s="136">
        <v>0.7</v>
      </c>
      <c r="E26" s="82">
        <f>C26*($A$24*730)</f>
        <v>3832499.9999999995</v>
      </c>
      <c r="F26" s="82"/>
      <c r="G26" s="89">
        <f t="shared" si="0"/>
        <v>243161.99999999997</v>
      </c>
      <c r="H26" s="89">
        <f>+AH26</f>
        <v>249631.87499999997</v>
      </c>
      <c r="I26" s="89">
        <f>+H26-G26</f>
        <v>6469.875</v>
      </c>
      <c r="J26" s="90">
        <f>ROUND(+I26/G26,4)</f>
        <v>2.6599999999999999E-2</v>
      </c>
      <c r="K26" s="89">
        <f>ROUND($T$10*$E26,2)</f>
        <v>-2199.94</v>
      </c>
      <c r="L26" s="89">
        <f>ROUND($T$11*$E26,2)</f>
        <v>0</v>
      </c>
      <c r="M26" s="89">
        <f>ROUND($T$12*$E26,2)</f>
        <v>7440.24</v>
      </c>
      <c r="N26" s="89">
        <f>+G26+K26+L26+M26</f>
        <v>248402.29999999996</v>
      </c>
      <c r="O26" s="89">
        <f>+H26+K26+L26+M26</f>
        <v>254872.17499999996</v>
      </c>
      <c r="P26" s="90">
        <f>(O26-N26)/N26</f>
        <v>2.6045954485928679E-2</v>
      </c>
      <c r="Q26" s="82"/>
      <c r="S26" s="40">
        <f>$S$20</f>
        <v>0</v>
      </c>
      <c r="T26" s="25">
        <f>$T$17*E26</f>
        <v>136436.99999999997</v>
      </c>
      <c r="U26" s="25">
        <f>$U$17*($A$24*0.5)</f>
        <v>0</v>
      </c>
      <c r="V26" s="25">
        <f>$V$17*$A$24</f>
        <v>0</v>
      </c>
      <c r="W26" s="25">
        <f>$W$17*$A$24</f>
        <v>106725</v>
      </c>
      <c r="X26" s="25">
        <f>S26+T26+U26+V26+W26</f>
        <v>243161.99999999997</v>
      </c>
      <c r="Y26" s="25"/>
      <c r="Z26" s="25"/>
      <c r="AC26" s="40">
        <f>$AC$20</f>
        <v>0</v>
      </c>
      <c r="AD26" s="25">
        <f>$AD$17*E26</f>
        <v>121681.87499999999</v>
      </c>
      <c r="AE26" s="25">
        <f>$AE$17*($A$24*0.5)</f>
        <v>0</v>
      </c>
      <c r="AF26" s="25">
        <f>$A$24*$AF$17</f>
        <v>0</v>
      </c>
      <c r="AG26" s="25">
        <f>$A$24*$AG$17</f>
        <v>127949.99999999999</v>
      </c>
      <c r="AH26" s="25">
        <f>AC26+AD26+AE26+AF26+AG26</f>
        <v>249631.87499999997</v>
      </c>
      <c r="AI26" s="25"/>
      <c r="AK26" s="40">
        <f>AH26-X26</f>
        <v>6469.875</v>
      </c>
      <c r="AM26" s="137">
        <f>AH26/X26-1</f>
        <v>2.6607261825449813E-2</v>
      </c>
    </row>
    <row r="27" spans="1:39" x14ac:dyDescent="0.2">
      <c r="C27" s="136"/>
      <c r="E27" s="82"/>
      <c r="F27" s="82"/>
      <c r="G27" s="89"/>
      <c r="H27" s="89"/>
      <c r="J27" s="233"/>
      <c r="K27" s="82"/>
      <c r="L27" s="82"/>
      <c r="M27" s="82"/>
      <c r="P27" s="90"/>
      <c r="Q27" s="82"/>
      <c r="S27" s="40"/>
      <c r="T27" s="25"/>
      <c r="U27" s="25"/>
      <c r="V27" s="25"/>
      <c r="W27" s="25"/>
      <c r="X27" s="25"/>
      <c r="Y27" s="25"/>
      <c r="AC27" s="40"/>
      <c r="AD27" s="25"/>
      <c r="AE27" s="25"/>
      <c r="AF27" s="25"/>
      <c r="AG27" s="25"/>
      <c r="AH27" s="25"/>
      <c r="AK27" s="84"/>
      <c r="AM27" s="84"/>
    </row>
    <row r="28" spans="1:39" x14ac:dyDescent="0.2">
      <c r="A28" s="82">
        <v>10000</v>
      </c>
      <c r="B28" s="82"/>
      <c r="C28" s="136">
        <v>0.3</v>
      </c>
      <c r="E28" s="82">
        <f>C28*($A$28*730)</f>
        <v>2190000</v>
      </c>
      <c r="F28" s="82"/>
      <c r="G28" s="89">
        <f t="shared" si="0"/>
        <v>220264</v>
      </c>
      <c r="H28" s="89">
        <f>+AH28</f>
        <v>240132.5</v>
      </c>
      <c r="I28" s="89">
        <f>+H28-G28</f>
        <v>19868.5</v>
      </c>
      <c r="J28" s="90">
        <f>ROUND(+I28/G28,4)</f>
        <v>9.0200000000000002E-2</v>
      </c>
      <c r="K28" s="89">
        <f>ROUND($T$10*$E28,2)</f>
        <v>-1257.1099999999999</v>
      </c>
      <c r="L28" s="89">
        <f>ROUND($T$11*$E28,2)</f>
        <v>0</v>
      </c>
      <c r="M28" s="89">
        <f>ROUND($T$12*$E28,2)</f>
        <v>4251.57</v>
      </c>
      <c r="N28" s="89">
        <f>+G28+K28+L28+M28</f>
        <v>223258.46000000002</v>
      </c>
      <c r="O28" s="89">
        <f>+H28+K28+L28+M28</f>
        <v>243126.96000000002</v>
      </c>
      <c r="P28" s="90">
        <f>(O28-N28)/N28</f>
        <v>8.899326816103631E-2</v>
      </c>
      <c r="Q28" s="82"/>
      <c r="S28" s="40">
        <f>$S$20</f>
        <v>0</v>
      </c>
      <c r="T28" s="25">
        <f>$T$17*E28</f>
        <v>77964</v>
      </c>
      <c r="U28" s="25">
        <f>$U$17*($A$28*0.5)</f>
        <v>0</v>
      </c>
      <c r="V28" s="25">
        <f>$V$17*$A$28</f>
        <v>0</v>
      </c>
      <c r="W28" s="25">
        <f>$W$17*$A$28</f>
        <v>142300</v>
      </c>
      <c r="X28" s="25">
        <f>S28+T28+U28+V28+W28</f>
        <v>220264</v>
      </c>
      <c r="Y28" s="25"/>
      <c r="Z28" s="25"/>
      <c r="AC28" s="40">
        <f>$AC$20</f>
        <v>0</v>
      </c>
      <c r="AD28" s="25">
        <f>$AD$17*E28</f>
        <v>69532.5</v>
      </c>
      <c r="AE28" s="25">
        <f>$AE$17*($A$28*0.5)</f>
        <v>0</v>
      </c>
      <c r="AF28" s="25">
        <f>$A$28*$AF$17</f>
        <v>0</v>
      </c>
      <c r="AG28" s="25">
        <f>$A$28*$AG$17</f>
        <v>170600</v>
      </c>
      <c r="AH28" s="25">
        <f>AC28+AD28+AE28+AF28+AG28</f>
        <v>240132.5</v>
      </c>
      <c r="AI28" s="25"/>
      <c r="AK28" s="40">
        <f>AH28-X28</f>
        <v>19868.5</v>
      </c>
      <c r="AM28" s="137">
        <f>AH28/X28-1</f>
        <v>9.0203119892492634E-2</v>
      </c>
    </row>
    <row r="29" spans="1:39" x14ac:dyDescent="0.2">
      <c r="C29" s="136">
        <v>0.5</v>
      </c>
      <c r="E29" s="82">
        <f>C29*($A$28*730)</f>
        <v>3650000</v>
      </c>
      <c r="F29" s="82"/>
      <c r="G29" s="89">
        <f t="shared" si="0"/>
        <v>272240</v>
      </c>
      <c r="H29" s="89">
        <f>+AH29</f>
        <v>286487.5</v>
      </c>
      <c r="I29" s="89">
        <f>+H29-G29</f>
        <v>14247.5</v>
      </c>
      <c r="J29" s="90">
        <f>ROUND(+I29/G29,4)</f>
        <v>5.2299999999999999E-2</v>
      </c>
      <c r="K29" s="89">
        <f>ROUND($T$10*$E29,2)</f>
        <v>-2095.19</v>
      </c>
      <c r="L29" s="89">
        <f>ROUND($T$11*$E29,2)</f>
        <v>0</v>
      </c>
      <c r="M29" s="89">
        <f>ROUND($T$12*$E29,2)</f>
        <v>7085.95</v>
      </c>
      <c r="N29" s="89">
        <f>+G29+K29+L29+M29</f>
        <v>277230.76</v>
      </c>
      <c r="O29" s="89">
        <f>+H29+K29+L29+M29</f>
        <v>291478.26</v>
      </c>
      <c r="P29" s="90">
        <f>(O29-N29)/N29</f>
        <v>5.1392204818830348E-2</v>
      </c>
      <c r="Q29" s="82"/>
      <c r="S29" s="40">
        <f>$S$20</f>
        <v>0</v>
      </c>
      <c r="T29" s="25">
        <f>$T$17*E29</f>
        <v>129940</v>
      </c>
      <c r="U29" s="25">
        <f>$U$17*($A$28*0.5)</f>
        <v>0</v>
      </c>
      <c r="V29" s="25">
        <f>$V$17*$A$28</f>
        <v>0</v>
      </c>
      <c r="W29" s="25">
        <f>$W$17*$A$28</f>
        <v>142300</v>
      </c>
      <c r="X29" s="25">
        <f>S29+T29+U29+V29+W29</f>
        <v>272240</v>
      </c>
      <c r="Y29" s="25"/>
      <c r="Z29" s="25"/>
      <c r="AC29" s="40">
        <f>$AC$20</f>
        <v>0</v>
      </c>
      <c r="AD29" s="25">
        <f>$AD$17*E29</f>
        <v>115887.5</v>
      </c>
      <c r="AE29" s="25">
        <f>$AE$17*($A$28*0.5)</f>
        <v>0</v>
      </c>
      <c r="AF29" s="25">
        <f>$A$28*$AF$17</f>
        <v>0</v>
      </c>
      <c r="AG29" s="25">
        <f>$A$28*$AG$17</f>
        <v>170600</v>
      </c>
      <c r="AH29" s="25">
        <f>AC29+AD29+AE29+AF29+AG29</f>
        <v>286487.5</v>
      </c>
      <c r="AI29" s="25"/>
      <c r="AK29" s="40">
        <f>AH29-X29</f>
        <v>14247.5</v>
      </c>
      <c r="AM29" s="137">
        <f>AH29/X29-1</f>
        <v>5.233433734939763E-2</v>
      </c>
    </row>
    <row r="30" spans="1:39" x14ac:dyDescent="0.2">
      <c r="C30" s="136">
        <v>0.7</v>
      </c>
      <c r="E30" s="82">
        <f>C30*($A$28*730)</f>
        <v>5110000</v>
      </c>
      <c r="F30" s="82"/>
      <c r="G30" s="89">
        <f t="shared" si="0"/>
        <v>324216</v>
      </c>
      <c r="H30" s="89">
        <f>+AH30</f>
        <v>332842.5</v>
      </c>
      <c r="I30" s="89">
        <f>+H30-G30</f>
        <v>8626.5</v>
      </c>
      <c r="J30" s="90">
        <f>ROUND(+I30/G30,4)</f>
        <v>2.6599999999999999E-2</v>
      </c>
      <c r="K30" s="89">
        <f>ROUND($T$10*$E30,2)</f>
        <v>-2933.26</v>
      </c>
      <c r="L30" s="89">
        <f>ROUND($T$11*$E30,2)</f>
        <v>0</v>
      </c>
      <c r="M30" s="89">
        <f>ROUND($T$12*$E30,2)</f>
        <v>9920.33</v>
      </c>
      <c r="N30" s="89">
        <f>+G30+K30+L30+M30</f>
        <v>331203.07</v>
      </c>
      <c r="O30" s="89">
        <f>+H30+K30+L30+M30</f>
        <v>339829.57</v>
      </c>
      <c r="P30" s="90">
        <f>(O30-N30)/N30</f>
        <v>2.6045954223793879E-2</v>
      </c>
      <c r="Q30" s="82"/>
      <c r="S30" s="40">
        <f>$S$20</f>
        <v>0</v>
      </c>
      <c r="T30" s="25">
        <f>$T$17*E30</f>
        <v>181916</v>
      </c>
      <c r="U30" s="25">
        <f>$U$17*($A$28*0.5)</f>
        <v>0</v>
      </c>
      <c r="V30" s="25">
        <f>$V$17*$A$28</f>
        <v>0</v>
      </c>
      <c r="W30" s="25">
        <f>$W$17*$A$28</f>
        <v>142300</v>
      </c>
      <c r="X30" s="25">
        <f>S30+T30+U30+V30+W30</f>
        <v>324216</v>
      </c>
      <c r="Y30" s="25"/>
      <c r="Z30" s="25"/>
      <c r="AC30" s="40">
        <f>$AC$20</f>
        <v>0</v>
      </c>
      <c r="AD30" s="25">
        <f>$AD$17*E30</f>
        <v>162242.5</v>
      </c>
      <c r="AE30" s="25">
        <f>$AE$17*($A$28*0.5)</f>
        <v>0</v>
      </c>
      <c r="AF30" s="25">
        <f>$A$28*$AF$17</f>
        <v>0</v>
      </c>
      <c r="AG30" s="25">
        <f>$A$28*$AG$17</f>
        <v>170600</v>
      </c>
      <c r="AH30" s="25">
        <f>AC30+AD30+AE30+AF30+AG30</f>
        <v>332842.5</v>
      </c>
      <c r="AI30" s="25"/>
      <c r="AK30" s="40">
        <f>AH30-X30</f>
        <v>8626.5</v>
      </c>
      <c r="AM30" s="137">
        <f>AH30/X30-1</f>
        <v>2.6607261825449591E-2</v>
      </c>
    </row>
    <row r="31" spans="1:39" x14ac:dyDescent="0.2">
      <c r="C31" s="136"/>
      <c r="E31" s="82"/>
      <c r="F31" s="82"/>
      <c r="G31" s="89"/>
      <c r="H31" s="89"/>
      <c r="J31" s="233"/>
      <c r="K31" s="82"/>
      <c r="L31" s="82"/>
      <c r="M31" s="82"/>
      <c r="P31" s="90"/>
      <c r="Q31" s="82"/>
      <c r="S31" s="40"/>
      <c r="T31" s="25"/>
      <c r="U31" s="25"/>
      <c r="V31" s="25"/>
      <c r="W31" s="25"/>
      <c r="X31" s="25"/>
      <c r="Y31" s="25"/>
      <c r="AC31" s="40"/>
      <c r="AD31" s="25"/>
      <c r="AE31" s="25"/>
      <c r="AF31" s="25"/>
      <c r="AG31" s="25"/>
      <c r="AH31" s="25"/>
      <c r="AK31" s="84"/>
      <c r="AM31" s="84"/>
    </row>
    <row r="32" spans="1:39" x14ac:dyDescent="0.2">
      <c r="A32" s="82">
        <v>12500</v>
      </c>
      <c r="B32" s="82"/>
      <c r="C32" s="136">
        <v>0.3</v>
      </c>
      <c r="E32" s="82">
        <f>C32*($A$32*730)</f>
        <v>2737500</v>
      </c>
      <c r="F32" s="82"/>
      <c r="G32" s="89">
        <f t="shared" si="0"/>
        <v>275330</v>
      </c>
      <c r="H32" s="89">
        <f>+AH32</f>
        <v>300165.625</v>
      </c>
      <c r="I32" s="89">
        <f>+H32-G32</f>
        <v>24835.625</v>
      </c>
      <c r="J32" s="90">
        <f>ROUND(+I32/G32,4)</f>
        <v>9.0200000000000002E-2</v>
      </c>
      <c r="K32" s="89">
        <f>ROUND($T$10*$E32,2)</f>
        <v>-1571.39</v>
      </c>
      <c r="L32" s="89">
        <f>ROUND($T$11*$E32,2)</f>
        <v>0</v>
      </c>
      <c r="M32" s="89">
        <f>ROUND($T$12*$E32,2)</f>
        <v>5314.46</v>
      </c>
      <c r="N32" s="89">
        <f>+G32+K32+L32+M32</f>
        <v>279073.07</v>
      </c>
      <c r="O32" s="89">
        <f>+H32+K32+L32+M32</f>
        <v>303908.69500000001</v>
      </c>
      <c r="P32" s="90">
        <f>(O32-N32)/N32</f>
        <v>8.8993269755480164E-2</v>
      </c>
      <c r="Q32" s="82"/>
      <c r="S32" s="40">
        <f>$S$20</f>
        <v>0</v>
      </c>
      <c r="T32" s="25">
        <f>$T$17*E32</f>
        <v>97455</v>
      </c>
      <c r="U32" s="25">
        <f>$U$17*($A$32*0.5)</f>
        <v>0</v>
      </c>
      <c r="V32" s="25">
        <f>$V$17*$A$32</f>
        <v>0</v>
      </c>
      <c r="W32" s="25">
        <f>$W$17*$A$32</f>
        <v>177875</v>
      </c>
      <c r="X32" s="25">
        <f>S32+T32+U32+V32+W32</f>
        <v>275330</v>
      </c>
      <c r="Y32" s="25"/>
      <c r="Z32" s="25"/>
      <c r="AC32" s="40">
        <f>$AC$20</f>
        <v>0</v>
      </c>
      <c r="AD32" s="25">
        <f>$AD$17*E32</f>
        <v>86915.625</v>
      </c>
      <c r="AE32" s="25">
        <f>$AE$17*($A$32*0.5)</f>
        <v>0</v>
      </c>
      <c r="AF32" s="25">
        <f>$A$32*$AF$17</f>
        <v>0</v>
      </c>
      <c r="AG32" s="25">
        <f>$A$32*$AG$17</f>
        <v>213249.99999999997</v>
      </c>
      <c r="AH32" s="25">
        <f>AC32+AD32+AE32+AF32+AG32</f>
        <v>300165.625</v>
      </c>
      <c r="AI32" s="25"/>
      <c r="AK32" s="40">
        <f>AH32-X32</f>
        <v>24835.625</v>
      </c>
      <c r="AM32" s="137">
        <f>AH32/X32-1</f>
        <v>9.0203119892492634E-2</v>
      </c>
    </row>
    <row r="33" spans="1:39" x14ac:dyDescent="0.2">
      <c r="C33" s="136">
        <v>0.5</v>
      </c>
      <c r="E33" s="82">
        <f>C33*($A$32*730)</f>
        <v>4562500</v>
      </c>
      <c r="F33" s="82"/>
      <c r="G33" s="89">
        <f t="shared" si="0"/>
        <v>340300</v>
      </c>
      <c r="H33" s="89">
        <f>+AH33</f>
        <v>358109.375</v>
      </c>
      <c r="I33" s="89">
        <f>+H33-G33</f>
        <v>17809.375</v>
      </c>
      <c r="J33" s="90">
        <f>ROUND(+I33/G33,4)</f>
        <v>5.2299999999999999E-2</v>
      </c>
      <c r="K33" s="89">
        <f>ROUND($T$10*$E33,2)</f>
        <v>-2618.98</v>
      </c>
      <c r="L33" s="89">
        <f>ROUND($T$11*$E33,2)</f>
        <v>0</v>
      </c>
      <c r="M33" s="89">
        <f>ROUND($T$12*$E33,2)</f>
        <v>8857.43</v>
      </c>
      <c r="N33" s="89">
        <f>+G33+K33+L33+M33</f>
        <v>346538.45</v>
      </c>
      <c r="O33" s="89">
        <f>+H33+K33+L33+M33</f>
        <v>364347.82500000001</v>
      </c>
      <c r="P33" s="90">
        <f>(O33-N33)/N33</f>
        <v>5.1392204818830348E-2</v>
      </c>
      <c r="Q33" s="82"/>
      <c r="S33" s="40">
        <f>$S$20</f>
        <v>0</v>
      </c>
      <c r="T33" s="25">
        <f>$T$17*E33</f>
        <v>162425</v>
      </c>
      <c r="U33" s="25">
        <f>$U$17*($A$32*0.5)</f>
        <v>0</v>
      </c>
      <c r="V33" s="25">
        <f>$V$17*$A$32</f>
        <v>0</v>
      </c>
      <c r="W33" s="25">
        <f>$W$17*$A$32</f>
        <v>177875</v>
      </c>
      <c r="X33" s="25">
        <f>S33+T33+U33+V33+W33</f>
        <v>340300</v>
      </c>
      <c r="Y33" s="25"/>
      <c r="Z33" s="25"/>
      <c r="AC33" s="40">
        <f>$AC$20</f>
        <v>0</v>
      </c>
      <c r="AD33" s="25">
        <f>$AD$17*E33</f>
        <v>144859.375</v>
      </c>
      <c r="AE33" s="25">
        <f>$AE$17*($A$32*0.5)</f>
        <v>0</v>
      </c>
      <c r="AF33" s="25">
        <f>$A$32*$AF$17</f>
        <v>0</v>
      </c>
      <c r="AG33" s="25">
        <f>$A$32*$AG$17</f>
        <v>213249.99999999997</v>
      </c>
      <c r="AH33" s="25">
        <f>AC33+AD33+AE33+AF33+AG33</f>
        <v>358109.375</v>
      </c>
      <c r="AI33" s="25"/>
      <c r="AK33" s="40">
        <f>AH33-X33</f>
        <v>17809.375</v>
      </c>
      <c r="AM33" s="137">
        <f>AH33/X33-1</f>
        <v>5.233433734939763E-2</v>
      </c>
    </row>
    <row r="34" spans="1:39" x14ac:dyDescent="0.2">
      <c r="C34" s="136">
        <v>0.7</v>
      </c>
      <c r="E34" s="82">
        <f>C34*($A$32*730)</f>
        <v>6387500</v>
      </c>
      <c r="F34" s="82"/>
      <c r="G34" s="89">
        <f t="shared" si="0"/>
        <v>405270</v>
      </c>
      <c r="H34" s="89">
        <f>+AH34</f>
        <v>416053.125</v>
      </c>
      <c r="I34" s="89">
        <f>+H34-G34</f>
        <v>10783.125</v>
      </c>
      <c r="J34" s="90">
        <f>ROUND(+I34/G34,4)</f>
        <v>2.6599999999999999E-2</v>
      </c>
      <c r="K34" s="89">
        <f>ROUND($T$10*$E34,2)</f>
        <v>-3666.57</v>
      </c>
      <c r="L34" s="89">
        <f>ROUND($T$11*$E34,2)</f>
        <v>0</v>
      </c>
      <c r="M34" s="89">
        <f>ROUND($T$12*$E34,2)</f>
        <v>12400.41</v>
      </c>
      <c r="N34" s="89">
        <f>+G34+K34+L34+M34</f>
        <v>414003.83999999997</v>
      </c>
      <c r="O34" s="89">
        <f>+H34+K34+L34+M34</f>
        <v>424786.96499999997</v>
      </c>
      <c r="P34" s="90">
        <f>(O34-N34)/N34</f>
        <v>2.604595406651301E-2</v>
      </c>
      <c r="Q34" s="82"/>
      <c r="S34" s="40">
        <f>$S$20</f>
        <v>0</v>
      </c>
      <c r="T34" s="25">
        <f>$T$17*E34</f>
        <v>227395</v>
      </c>
      <c r="U34" s="25">
        <f>$U$17*($A$32*0.5)</f>
        <v>0</v>
      </c>
      <c r="V34" s="25">
        <f>$V$17*$A$32</f>
        <v>0</v>
      </c>
      <c r="W34" s="25">
        <f>$W$17*$A$32</f>
        <v>177875</v>
      </c>
      <c r="X34" s="25">
        <f>S34+T34+U34+V34+W34</f>
        <v>405270</v>
      </c>
      <c r="Y34" s="25"/>
      <c r="Z34" s="25"/>
      <c r="AC34" s="40">
        <f>$AC$20</f>
        <v>0</v>
      </c>
      <c r="AD34" s="25">
        <f>$AD$17*E34</f>
        <v>202803.125</v>
      </c>
      <c r="AE34" s="25">
        <f>$AE$17*($A$32*0.5)</f>
        <v>0</v>
      </c>
      <c r="AF34" s="25">
        <f>$A$32*$AF$17</f>
        <v>0</v>
      </c>
      <c r="AG34" s="25">
        <f>$A$32*$AG$17</f>
        <v>213249.99999999997</v>
      </c>
      <c r="AH34" s="25">
        <f>AC34+AD34+AE34+AF34+AG34</f>
        <v>416053.125</v>
      </c>
      <c r="AI34" s="25"/>
      <c r="AK34" s="40">
        <f>AH34-X34</f>
        <v>10783.125</v>
      </c>
      <c r="AM34" s="137">
        <f>AH34/X34-1</f>
        <v>2.6607261825449591E-2</v>
      </c>
    </row>
    <row r="35" spans="1:39" x14ac:dyDescent="0.2">
      <c r="C35" s="136"/>
      <c r="E35" s="82"/>
      <c r="F35" s="82"/>
      <c r="G35" s="89"/>
      <c r="H35" s="89"/>
      <c r="J35" s="233"/>
      <c r="K35" s="82"/>
      <c r="L35" s="82"/>
      <c r="M35" s="82"/>
      <c r="P35" s="90"/>
      <c r="Q35" s="82"/>
      <c r="S35" s="40"/>
      <c r="T35" s="25"/>
      <c r="U35" s="25"/>
      <c r="V35" s="25"/>
      <c r="W35" s="25"/>
      <c r="X35" s="25"/>
      <c r="Y35" s="25"/>
      <c r="AC35" s="40"/>
      <c r="AD35" s="25"/>
      <c r="AE35" s="25"/>
      <c r="AF35" s="25"/>
      <c r="AG35" s="25"/>
      <c r="AH35" s="25"/>
      <c r="AK35" s="84"/>
      <c r="AM35" s="84"/>
    </row>
    <row r="36" spans="1:39" x14ac:dyDescent="0.2">
      <c r="A36" s="82">
        <v>15000</v>
      </c>
      <c r="B36" s="82"/>
      <c r="C36" s="136">
        <v>0.3</v>
      </c>
      <c r="E36" s="82">
        <f>C36*($A$36*730)</f>
        <v>3285000</v>
      </c>
      <c r="F36" s="82"/>
      <c r="G36" s="89">
        <f t="shared" si="0"/>
        <v>330396</v>
      </c>
      <c r="H36" s="89">
        <f>+AH36</f>
        <v>360198.75</v>
      </c>
      <c r="I36" s="89">
        <f>+H36-G36</f>
        <v>29802.75</v>
      </c>
      <c r="J36" s="90">
        <f>ROUND(+I36/G36,4)</f>
        <v>9.0200000000000002E-2</v>
      </c>
      <c r="K36" s="89">
        <f>ROUND($T$10*$E36,2)</f>
        <v>-1885.67</v>
      </c>
      <c r="L36" s="89">
        <f>ROUND($T$11*$E36,2)</f>
        <v>0</v>
      </c>
      <c r="M36" s="89">
        <f>ROUND($T$12*$E36,2)</f>
        <v>6377.35</v>
      </c>
      <c r="N36" s="89">
        <f>+G36+K36+L36+M36</f>
        <v>334887.67999999999</v>
      </c>
      <c r="O36" s="89">
        <f>+H36+K36+L36+M36</f>
        <v>364690.43</v>
      </c>
      <c r="P36" s="90">
        <f>(O36-N36)/N36</f>
        <v>8.8993270818442771E-2</v>
      </c>
      <c r="Q36" s="82"/>
      <c r="S36" s="40">
        <f>$S$20</f>
        <v>0</v>
      </c>
      <c r="T36" s="25">
        <f>$T$17*E36</f>
        <v>116946</v>
      </c>
      <c r="U36" s="25">
        <f>$U$17*($A$36*0.5)</f>
        <v>0</v>
      </c>
      <c r="V36" s="25">
        <f>$V$17*$A$36</f>
        <v>0</v>
      </c>
      <c r="W36" s="25">
        <f>$W$17*$A$36</f>
        <v>213450</v>
      </c>
      <c r="X36" s="25">
        <f>S36+T36+U36+V36+W36</f>
        <v>330396</v>
      </c>
      <c r="Y36" s="25"/>
      <c r="Z36" s="25"/>
      <c r="AC36" s="40">
        <f>$AC$20</f>
        <v>0</v>
      </c>
      <c r="AD36" s="25">
        <f>$AD$17*E36</f>
        <v>104298.75</v>
      </c>
      <c r="AE36" s="25">
        <f>$AE$17*($A$36*0.5)</f>
        <v>0</v>
      </c>
      <c r="AF36" s="25">
        <f>$A$36*$AF$17</f>
        <v>0</v>
      </c>
      <c r="AG36" s="25">
        <f>$A$36*$AG$17</f>
        <v>255899.99999999997</v>
      </c>
      <c r="AH36" s="25">
        <f>AC36+AD36+AE36+AF36+AG36</f>
        <v>360198.75</v>
      </c>
      <c r="AI36" s="25"/>
      <c r="AK36" s="40">
        <f>AH36-X36</f>
        <v>29802.75</v>
      </c>
      <c r="AM36" s="137">
        <f>AH36/X36-1</f>
        <v>9.0203119892492634E-2</v>
      </c>
    </row>
    <row r="37" spans="1:39" x14ac:dyDescent="0.2">
      <c r="C37" s="136">
        <v>0.5</v>
      </c>
      <c r="E37" s="82">
        <f>C37*($A$36*730)</f>
        <v>5475000</v>
      </c>
      <c r="F37" s="82"/>
      <c r="G37" s="89">
        <f t="shared" si="0"/>
        <v>408360</v>
      </c>
      <c r="H37" s="89">
        <f>+AH37</f>
        <v>429731.25</v>
      </c>
      <c r="I37" s="89">
        <f>+H37-G37</f>
        <v>21371.25</v>
      </c>
      <c r="J37" s="90">
        <f>ROUND(+I37/G37,4)</f>
        <v>5.2299999999999999E-2</v>
      </c>
      <c r="K37" s="89">
        <f>ROUND($T$10*$E37,2)</f>
        <v>-3142.78</v>
      </c>
      <c r="L37" s="89">
        <f>ROUND($T$11*$E37,2)</f>
        <v>0</v>
      </c>
      <c r="M37" s="89">
        <f>ROUND($T$12*$E37,2)</f>
        <v>10628.92</v>
      </c>
      <c r="N37" s="89">
        <f>+G37+K37+L37+M37</f>
        <v>415846.13999999996</v>
      </c>
      <c r="O37" s="89">
        <f>+H37+K37+L37+M37</f>
        <v>437217.38999999996</v>
      </c>
      <c r="P37" s="90">
        <f>(O37-N37)/N37</f>
        <v>5.1392204818830355E-2</v>
      </c>
      <c r="Q37" s="82"/>
      <c r="S37" s="40">
        <f>$S$20</f>
        <v>0</v>
      </c>
      <c r="T37" s="25">
        <f>$T$17*E37</f>
        <v>194910</v>
      </c>
      <c r="U37" s="25">
        <f>$U$17*($A$36*0.5)</f>
        <v>0</v>
      </c>
      <c r="V37" s="25">
        <f>$V$17*$A$36</f>
        <v>0</v>
      </c>
      <c r="W37" s="25">
        <f>$W$17*$A$36</f>
        <v>213450</v>
      </c>
      <c r="X37" s="25">
        <f>S37+T37+U37+V37+W37</f>
        <v>408360</v>
      </c>
      <c r="Y37" s="25"/>
      <c r="Z37" s="25"/>
      <c r="AC37" s="40">
        <f>$AC$20</f>
        <v>0</v>
      </c>
      <c r="AD37" s="25">
        <f>$AD$17*E37</f>
        <v>173831.25</v>
      </c>
      <c r="AE37" s="25">
        <f>$AE$17*($A$36*0.5)</f>
        <v>0</v>
      </c>
      <c r="AF37" s="25">
        <f>$A$36*$AF$17</f>
        <v>0</v>
      </c>
      <c r="AG37" s="25">
        <f>$A$36*$AG$17</f>
        <v>255899.99999999997</v>
      </c>
      <c r="AH37" s="25">
        <f>AC37+AD37+AE37+AF37+AG37</f>
        <v>429731.25</v>
      </c>
      <c r="AI37" s="25"/>
      <c r="AK37" s="40">
        <f>AH37-X37</f>
        <v>21371.25</v>
      </c>
      <c r="AM37" s="137">
        <f>AH37/X37-1</f>
        <v>5.233433734939763E-2</v>
      </c>
    </row>
    <row r="38" spans="1:39" x14ac:dyDescent="0.2">
      <c r="C38" s="136">
        <v>0.7</v>
      </c>
      <c r="E38" s="82">
        <f>C38*($A$36*730)</f>
        <v>7664999.9999999991</v>
      </c>
      <c r="F38" s="82"/>
      <c r="G38" s="89">
        <f t="shared" si="0"/>
        <v>486323.99999999994</v>
      </c>
      <c r="H38" s="89">
        <f>+AH38</f>
        <v>499263.74999999994</v>
      </c>
      <c r="I38" s="89">
        <f>+H38-G38</f>
        <v>12939.75</v>
      </c>
      <c r="J38" s="90">
        <f>ROUND(+I38/G38,4)</f>
        <v>2.6599999999999999E-2</v>
      </c>
      <c r="K38" s="89">
        <f>ROUND($T$10*$E38,2)</f>
        <v>-4399.8900000000003</v>
      </c>
      <c r="L38" s="89">
        <f>ROUND($T$11*$E38,2)</f>
        <v>0</v>
      </c>
      <c r="M38" s="89">
        <f>ROUND($T$12*$E38,2)</f>
        <v>14880.49</v>
      </c>
      <c r="N38" s="89">
        <f>+G38+K38+L38+M38</f>
        <v>496804.59999999992</v>
      </c>
      <c r="O38" s="89">
        <f>+H38+K38+L38+M38</f>
        <v>509744.34999999992</v>
      </c>
      <c r="P38" s="90">
        <f>(O38-N38)/N38</f>
        <v>2.6045954485928679E-2</v>
      </c>
      <c r="Q38" s="82"/>
      <c r="S38" s="40">
        <f>$S$20</f>
        <v>0</v>
      </c>
      <c r="T38" s="25">
        <f>$T$17*E38</f>
        <v>272873.99999999994</v>
      </c>
      <c r="U38" s="25">
        <f>$U$17*($A$36*0.5)</f>
        <v>0</v>
      </c>
      <c r="V38" s="25">
        <f>$V$17*$A$36</f>
        <v>0</v>
      </c>
      <c r="W38" s="25">
        <f>$W$17*$A$36</f>
        <v>213450</v>
      </c>
      <c r="X38" s="25">
        <f>S38+T38+U38+V38+W38</f>
        <v>486323.99999999994</v>
      </c>
      <c r="Y38" s="25"/>
      <c r="Z38" s="25"/>
      <c r="AC38" s="40">
        <f>$AC$20</f>
        <v>0</v>
      </c>
      <c r="AD38" s="25">
        <f>$AD$17*E38</f>
        <v>243363.74999999997</v>
      </c>
      <c r="AE38" s="25">
        <f>$AE$17*($A$36*0.5)</f>
        <v>0</v>
      </c>
      <c r="AF38" s="25">
        <f>$A$36*$AF$17</f>
        <v>0</v>
      </c>
      <c r="AG38" s="25">
        <f>$A$36*$AG$17</f>
        <v>255899.99999999997</v>
      </c>
      <c r="AH38" s="25">
        <f>AC38+AD38+AE38+AF38+AG38</f>
        <v>499263.74999999994</v>
      </c>
      <c r="AI38" s="25"/>
      <c r="AK38" s="40">
        <f>AH38-X38</f>
        <v>12939.75</v>
      </c>
      <c r="AM38" s="137">
        <f>AH38/X38-1</f>
        <v>2.6607261825449813E-2</v>
      </c>
    </row>
    <row r="39" spans="1:39" x14ac:dyDescent="0.2">
      <c r="T39" s="25"/>
      <c r="U39" s="25"/>
      <c r="V39" s="25"/>
      <c r="W39" s="25"/>
      <c r="X39" s="25"/>
      <c r="Y39" s="25"/>
      <c r="AE39" s="25"/>
    </row>
    <row r="40" spans="1:39" x14ac:dyDescent="0.2">
      <c r="A40" s="17" t="s">
        <v>314</v>
      </c>
      <c r="T40" s="25"/>
      <c r="U40" s="25"/>
      <c r="V40" s="25"/>
      <c r="W40" s="25"/>
      <c r="X40" s="25"/>
      <c r="Y40" s="25"/>
    </row>
    <row r="41" spans="1:39" x14ac:dyDescent="0.2">
      <c r="A41" s="170" t="str">
        <f>("Average usage "&amp;TEXT(INPUT!N20,"0,000,000")&amp;" kWh per month")</f>
        <v>Average usage 2,374,395 kWh per month</v>
      </c>
      <c r="G41" s="88"/>
      <c r="T41" s="25"/>
      <c r="U41" s="25"/>
      <c r="V41" s="25"/>
      <c r="W41" s="25"/>
      <c r="X41" s="25"/>
      <c r="Y41" s="25"/>
    </row>
    <row r="42" spans="1:39" x14ac:dyDescent="0.2">
      <c r="A42" s="172" t="s">
        <v>315</v>
      </c>
      <c r="C42" s="136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AE42" s="138"/>
      <c r="AF42" s="25"/>
      <c r="AG42" s="25"/>
      <c r="AH42" s="25"/>
      <c r="AI42" s="25"/>
      <c r="AJ42" s="25"/>
      <c r="AK42" s="84"/>
    </row>
    <row r="43" spans="1:39" x14ac:dyDescent="0.2">
      <c r="A43" s="171" t="s">
        <v>318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T43" s="139"/>
      <c r="AE43" s="140"/>
    </row>
    <row r="44" spans="1:39" x14ac:dyDescent="0.2">
      <c r="A44" s="174" t="s">
        <v>127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AA44" s="322"/>
      <c r="AB44" s="83"/>
      <c r="AC44" s="322"/>
      <c r="AE44" s="322"/>
    </row>
    <row r="45" spans="1:39" x14ac:dyDescent="0.2">
      <c r="A45" s="174" t="str">
        <f>+'Rate Case Constants'!C26</f>
        <v>Calculations may vary from other schedules due to rounding</v>
      </c>
      <c r="AE45" s="140"/>
    </row>
    <row r="46" spans="1:39" x14ac:dyDescent="0.2">
      <c r="A46" s="174"/>
      <c r="S46" s="322"/>
      <c r="W46" s="322"/>
      <c r="AA46" s="322"/>
      <c r="AE46" s="140"/>
    </row>
    <row r="47" spans="1:39" x14ac:dyDescent="0.2"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AA47" s="322"/>
      <c r="AB47" s="83"/>
      <c r="AC47" s="322"/>
      <c r="AE47" s="322"/>
    </row>
    <row r="48" spans="1:39" x14ac:dyDescent="0.2"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AA48" s="322"/>
      <c r="AB48" s="83"/>
      <c r="AC48" s="322"/>
      <c r="AE48" s="322"/>
    </row>
    <row r="49" spans="5:31" x14ac:dyDescent="0.2"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T49" s="322"/>
      <c r="U49" s="322"/>
      <c r="V49" s="322"/>
      <c r="W49" s="322"/>
      <c r="X49" s="322"/>
      <c r="Y49" s="322"/>
    </row>
    <row r="50" spans="5:31" x14ac:dyDescent="0.2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S50" s="40"/>
      <c r="T50" s="139"/>
      <c r="W50" s="139"/>
      <c r="X50" s="139"/>
      <c r="Y50" s="139"/>
      <c r="AA50" s="84"/>
      <c r="AC50" s="84"/>
      <c r="AE50" s="140"/>
    </row>
    <row r="51" spans="5:31" x14ac:dyDescent="0.2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S51" s="40"/>
      <c r="T51" s="139"/>
      <c r="W51" s="139"/>
      <c r="X51" s="139"/>
      <c r="Y51" s="139"/>
      <c r="AA51" s="84"/>
      <c r="AC51" s="84"/>
      <c r="AE51" s="140"/>
    </row>
    <row r="52" spans="5:31" x14ac:dyDescent="0.2"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S52" s="40"/>
      <c r="T52" s="139"/>
      <c r="W52" s="139"/>
      <c r="X52" s="139"/>
      <c r="Y52" s="139"/>
      <c r="AA52" s="84"/>
      <c r="AC52" s="84"/>
      <c r="AE52" s="140"/>
    </row>
    <row r="53" spans="5:31" x14ac:dyDescent="0.2"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S53" s="40"/>
      <c r="T53" s="139"/>
      <c r="W53" s="139"/>
      <c r="X53" s="139"/>
      <c r="Y53" s="139"/>
      <c r="AA53" s="84"/>
      <c r="AB53" s="107"/>
      <c r="AC53" s="84"/>
      <c r="AD53" s="107"/>
      <c r="AE53" s="140"/>
    </row>
    <row r="54" spans="5:31" ht="6.75" customHeight="1" x14ac:dyDescent="0.2"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S54" s="40"/>
      <c r="T54" s="139"/>
      <c r="W54" s="139"/>
      <c r="X54" s="139"/>
      <c r="Y54" s="139"/>
      <c r="AA54" s="84"/>
      <c r="AB54" s="107"/>
      <c r="AC54" s="84"/>
      <c r="AD54" s="107"/>
      <c r="AE54" s="140"/>
    </row>
    <row r="55" spans="5:31" x14ac:dyDescent="0.2"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S55" s="40"/>
      <c r="T55" s="139"/>
      <c r="W55" s="139"/>
      <c r="X55" s="139"/>
      <c r="Y55" s="139"/>
      <c r="AA55" s="84"/>
      <c r="AC55" s="84"/>
      <c r="AE55" s="140"/>
    </row>
    <row r="56" spans="5:31" x14ac:dyDescent="0.2"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S56" s="40"/>
      <c r="T56" s="139"/>
      <c r="W56" s="139"/>
      <c r="X56" s="139"/>
      <c r="Y56" s="139"/>
      <c r="AA56" s="84"/>
      <c r="AC56" s="84"/>
      <c r="AE56" s="140"/>
    </row>
    <row r="57" spans="5:31" x14ac:dyDescent="0.2"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S57" s="40"/>
      <c r="T57" s="139"/>
      <c r="W57" s="139"/>
      <c r="X57" s="139"/>
      <c r="Y57" s="139"/>
      <c r="AA57" s="84"/>
      <c r="AC57" s="84"/>
      <c r="AE57" s="140"/>
    </row>
    <row r="58" spans="5:31" x14ac:dyDescent="0.2"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S58" s="40"/>
      <c r="T58" s="139"/>
      <c r="W58" s="139"/>
      <c r="X58" s="139"/>
      <c r="Y58" s="139"/>
      <c r="AA58" s="84"/>
      <c r="AC58" s="84"/>
      <c r="AE58" s="140"/>
    </row>
    <row r="59" spans="5:31" x14ac:dyDescent="0.2"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S59" s="40"/>
      <c r="T59" s="139"/>
      <c r="W59" s="139"/>
      <c r="X59" s="139"/>
      <c r="Y59" s="139"/>
      <c r="AA59" s="84"/>
      <c r="AC59" s="84"/>
      <c r="AE59" s="140"/>
    </row>
    <row r="60" spans="5:31" ht="6.75" customHeight="1" x14ac:dyDescent="0.2"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S60" s="40"/>
      <c r="T60" s="139"/>
      <c r="W60" s="139"/>
      <c r="X60" s="139"/>
      <c r="Y60" s="139"/>
      <c r="AA60" s="84"/>
      <c r="AC60" s="84"/>
      <c r="AE60" s="140"/>
    </row>
    <row r="61" spans="5:31" x14ac:dyDescent="0.2"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S61" s="40"/>
      <c r="T61" s="139"/>
      <c r="W61" s="139"/>
      <c r="X61" s="139"/>
      <c r="Y61" s="139"/>
      <c r="AA61" s="84"/>
      <c r="AC61" s="84"/>
      <c r="AE61" s="140"/>
    </row>
    <row r="62" spans="5:31" x14ac:dyDescent="0.2"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S62" s="40"/>
      <c r="T62" s="139"/>
      <c r="W62" s="139"/>
      <c r="X62" s="139"/>
      <c r="Y62" s="139"/>
      <c r="AA62" s="84"/>
      <c r="AC62" s="84"/>
      <c r="AE62" s="140"/>
    </row>
    <row r="63" spans="5:31" x14ac:dyDescent="0.2"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S63" s="40"/>
      <c r="T63" s="139"/>
      <c r="W63" s="139"/>
      <c r="X63" s="139"/>
      <c r="Y63" s="139"/>
      <c r="AA63" s="84"/>
      <c r="AC63" s="84"/>
      <c r="AE63" s="140"/>
    </row>
    <row r="64" spans="5:31" x14ac:dyDescent="0.2"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S64" s="40"/>
      <c r="T64" s="139"/>
      <c r="W64" s="139"/>
      <c r="X64" s="139"/>
      <c r="Y64" s="139"/>
      <c r="AA64" s="84"/>
      <c r="AC64" s="84"/>
      <c r="AE64" s="140"/>
    </row>
    <row r="65" spans="5:35" x14ac:dyDescent="0.2"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T65" s="322"/>
      <c r="U65" s="322"/>
      <c r="V65" s="322"/>
      <c r="W65" s="322"/>
      <c r="X65" s="322"/>
      <c r="Y65" s="322"/>
    </row>
    <row r="66" spans="5:35" x14ac:dyDescent="0.2"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T66" s="322"/>
      <c r="U66" s="322"/>
      <c r="V66" s="322"/>
      <c r="W66" s="322"/>
      <c r="X66" s="322"/>
      <c r="Y66" s="322"/>
    </row>
    <row r="67" spans="5:35" x14ac:dyDescent="0.2"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AE67" s="140"/>
    </row>
    <row r="68" spans="5:35" x14ac:dyDescent="0.2">
      <c r="AH68" s="141"/>
      <c r="AI68" s="141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75" right="0.75" top="1.5" bottom="0.5" header="1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V282"/>
  <sheetViews>
    <sheetView view="pageBreakPreview" zoomScale="90" zoomScaleNormal="100" zoomScaleSheetLayoutView="90" workbookViewId="0">
      <selection sqref="A1:K1"/>
    </sheetView>
  </sheetViews>
  <sheetFormatPr defaultColWidth="9.140625" defaultRowHeight="12.75" x14ac:dyDescent="0.2"/>
  <cols>
    <col min="1" max="1" width="59.7109375" style="175" customWidth="1"/>
    <col min="2" max="2" width="8.7109375" style="88" customWidth="1"/>
    <col min="3" max="3" width="10.140625" style="176" bestFit="1" customWidth="1"/>
    <col min="4" max="4" width="10.140625" style="88" bestFit="1" customWidth="1"/>
    <col min="5" max="6" width="9.140625" style="88"/>
    <col min="7" max="8" width="10" style="88" customWidth="1"/>
    <col min="9" max="10" width="11.7109375" style="88" bestFit="1" customWidth="1"/>
    <col min="11" max="11" width="11.5703125" style="88" customWidth="1"/>
    <col min="12" max="12" width="5.28515625" style="88" customWidth="1"/>
    <col min="13" max="14" width="9.140625" style="88"/>
    <col min="15" max="15" width="47.85546875" style="175" bestFit="1" customWidth="1"/>
    <col min="16" max="16" width="23.42578125" style="175" bestFit="1" customWidth="1"/>
    <col min="17" max="17" width="13.85546875" style="175" customWidth="1"/>
    <col min="18" max="18" width="11.85546875" style="88" customWidth="1"/>
    <col min="19" max="19" width="12.140625" style="88" customWidth="1"/>
    <col min="20" max="20" width="10.85546875" style="88" customWidth="1"/>
    <col min="21" max="16384" width="9.140625" style="88"/>
  </cols>
  <sheetData>
    <row r="1" spans="1:22" x14ac:dyDescent="0.2">
      <c r="A1" s="426" t="str">
        <f>+'Rate Case Constants'!C9</f>
        <v>LOUISVILLE GAS AND ELECTRIC COMPANY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22" x14ac:dyDescent="0.2">
      <c r="A2" s="426" t="str">
        <f>+'Rate Case Constants'!C10</f>
        <v>CASE NO. 2018-00295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22" x14ac:dyDescent="0.2">
      <c r="A3" s="428" t="str">
        <f>+'Rate Case Constants'!C24</f>
        <v>Typical Bill Comparison under Present &amp; Proposed Rates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22" x14ac:dyDescent="0.2">
      <c r="A4" s="426" t="str">
        <f>+'Rate Case Constants'!C21</f>
        <v>FORECAST PERIOD FOR THE 12 MONTHS ENDED APRIL 30, 2020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</row>
    <row r="5" spans="1:22" x14ac:dyDescent="0.2">
      <c r="A5" s="178"/>
      <c r="B5" s="83"/>
      <c r="C5" s="271"/>
      <c r="D5" s="83"/>
      <c r="E5" s="83"/>
      <c r="F5" s="83"/>
      <c r="G5" s="83"/>
      <c r="H5" s="83"/>
      <c r="I5" s="83"/>
      <c r="J5" s="83"/>
      <c r="K5" s="83"/>
    </row>
    <row r="6" spans="1:22" x14ac:dyDescent="0.2">
      <c r="A6" s="178" t="str">
        <f>+'Rate Case Constants'!C33</f>
        <v>DATA: ____BASE PERIOD__X___FORECASTED PERIOD</v>
      </c>
      <c r="B6" s="83"/>
      <c r="C6" s="271"/>
      <c r="D6" s="83"/>
      <c r="E6" s="83"/>
      <c r="F6" s="83"/>
      <c r="G6" s="83"/>
      <c r="H6" s="83"/>
      <c r="I6" s="83"/>
      <c r="J6" s="83"/>
      <c r="K6" s="235" t="str">
        <f>+'Rate Case Constants'!C25</f>
        <v>SCHEDULE N</v>
      </c>
    </row>
    <row r="7" spans="1:22" x14ac:dyDescent="0.2">
      <c r="A7" s="178" t="str">
        <f>+'Rate Case Constants'!C29</f>
        <v>TYPE OF FILING: __X__ ORIGINAL  _____ UPDATED  _____ REVISED</v>
      </c>
      <c r="B7" s="83"/>
      <c r="C7" s="271"/>
      <c r="D7" s="83"/>
      <c r="E7" s="83"/>
      <c r="F7" s="83"/>
      <c r="G7" s="83"/>
      <c r="H7" s="83"/>
      <c r="I7" s="83"/>
      <c r="J7" s="83"/>
      <c r="K7" s="236" t="str">
        <f>+'Rate Case Constants'!L21</f>
        <v>PAGE 14 of 26</v>
      </c>
      <c r="M7" s="408" t="s">
        <v>70</v>
      </c>
      <c r="N7" s="408">
        <f>+INPUT!G63</f>
        <v>-5.7402338431805297E-4</v>
      </c>
    </row>
    <row r="8" spans="1:22" x14ac:dyDescent="0.2">
      <c r="A8" s="178" t="str">
        <f>+'Rate Case Constants'!C34</f>
        <v>WORKPAPER REFERENCE NO(S):________</v>
      </c>
      <c r="B8" s="83"/>
      <c r="C8" s="271"/>
      <c r="D8" s="83"/>
      <c r="E8" s="83"/>
      <c r="F8" s="83"/>
      <c r="G8" s="83"/>
      <c r="H8" s="83"/>
      <c r="I8" s="83"/>
      <c r="J8" s="83"/>
      <c r="K8" s="236" t="str">
        <f>+'Rate Case Constants'!C36</f>
        <v>WITNESS:   R. M. CONROY</v>
      </c>
      <c r="L8" s="101"/>
      <c r="M8" s="408" t="s">
        <v>71</v>
      </c>
      <c r="N8" s="408">
        <f>+INPUT!I63</f>
        <v>1.9413554738648355E-3</v>
      </c>
    </row>
    <row r="9" spans="1:22" x14ac:dyDescent="0.2">
      <c r="A9" s="286"/>
      <c r="B9" s="193"/>
      <c r="C9" s="224"/>
      <c r="D9" s="193"/>
      <c r="E9" s="193"/>
      <c r="F9" s="193"/>
      <c r="G9" s="193"/>
      <c r="H9" s="193"/>
      <c r="I9" s="193"/>
      <c r="J9" s="193"/>
      <c r="K9" s="193"/>
    </row>
    <row r="10" spans="1:22" x14ac:dyDescent="0.2">
      <c r="A10" s="85" t="s">
        <v>335</v>
      </c>
      <c r="B10" s="3" t="s">
        <v>304</v>
      </c>
      <c r="C10" s="26" t="s">
        <v>305</v>
      </c>
      <c r="D10" s="26" t="s">
        <v>306</v>
      </c>
      <c r="E10" s="3" t="s">
        <v>307</v>
      </c>
      <c r="F10" s="3" t="s">
        <v>308</v>
      </c>
      <c r="G10" s="26" t="s">
        <v>309</v>
      </c>
      <c r="H10" s="3" t="s">
        <v>310</v>
      </c>
      <c r="I10" s="3" t="s">
        <v>311</v>
      </c>
      <c r="J10" s="3" t="s">
        <v>312</v>
      </c>
      <c r="K10" s="3" t="s">
        <v>313</v>
      </c>
    </row>
    <row r="11" spans="1:22" x14ac:dyDescent="0.2">
      <c r="B11" s="41"/>
      <c r="C11" s="231" t="s">
        <v>339</v>
      </c>
      <c r="D11" s="231" t="s">
        <v>339</v>
      </c>
      <c r="E11"/>
      <c r="F11"/>
      <c r="G11" s="30"/>
      <c r="H11" s="30"/>
      <c r="I11" s="3" t="s">
        <v>5</v>
      </c>
      <c r="J11" s="3" t="s">
        <v>5</v>
      </c>
      <c r="K11"/>
    </row>
    <row r="12" spans="1:22" x14ac:dyDescent="0.2">
      <c r="A12" s="85"/>
      <c r="B12" s="3" t="s">
        <v>327</v>
      </c>
      <c r="C12" s="3" t="s">
        <v>1</v>
      </c>
      <c r="D12" s="3" t="s">
        <v>73</v>
      </c>
      <c r="E12" s="3"/>
      <c r="F12" s="3"/>
      <c r="G12" s="440" t="s">
        <v>126</v>
      </c>
      <c r="H12" s="440"/>
      <c r="I12" s="3" t="s">
        <v>1</v>
      </c>
      <c r="J12" s="3" t="s">
        <v>73</v>
      </c>
      <c r="K12" s="3"/>
    </row>
    <row r="13" spans="1:22" ht="13.5" thickBot="1" x14ac:dyDescent="0.25">
      <c r="A13" s="85"/>
      <c r="B13" s="3" t="s">
        <v>20</v>
      </c>
      <c r="C13" s="3" t="s">
        <v>4</v>
      </c>
      <c r="D13" s="3" t="s">
        <v>4</v>
      </c>
      <c r="E13" s="3" t="s">
        <v>74</v>
      </c>
      <c r="F13" s="3" t="s">
        <v>74</v>
      </c>
      <c r="G13" s="164" t="s">
        <v>376</v>
      </c>
      <c r="H13" s="51" t="s">
        <v>71</v>
      </c>
      <c r="I13" s="3" t="s">
        <v>4</v>
      </c>
      <c r="J13" s="3" t="s">
        <v>4</v>
      </c>
      <c r="K13" s="3" t="s">
        <v>74</v>
      </c>
      <c r="O13" s="178" t="s">
        <v>100</v>
      </c>
    </row>
    <row r="14" spans="1:22" x14ac:dyDescent="0.2">
      <c r="A14" s="85"/>
      <c r="B14" s="41"/>
      <c r="C14" s="3"/>
      <c r="D14" s="3"/>
      <c r="E14" s="3" t="s">
        <v>68</v>
      </c>
      <c r="F14" s="26" t="s">
        <v>69</v>
      </c>
      <c r="G14" s="50"/>
      <c r="H14" s="52"/>
      <c r="I14" s="3" t="s">
        <v>68</v>
      </c>
      <c r="J14" s="3" t="s">
        <v>68</v>
      </c>
      <c r="K14" s="26" t="s">
        <v>69</v>
      </c>
      <c r="S14" s="179" t="s">
        <v>130</v>
      </c>
    </row>
    <row r="15" spans="1:22" ht="13.5" thickBot="1" x14ac:dyDescent="0.25">
      <c r="A15" s="247"/>
      <c r="B15" s="247"/>
      <c r="C15" s="270"/>
      <c r="D15" s="270"/>
      <c r="E15" s="270" t="str">
        <f>("[ "&amp;D10&amp;" - "&amp;C10&amp;" ]")</f>
        <v>[ C - B ]</v>
      </c>
      <c r="F15" s="270" t="str">
        <f>("[ "&amp;E10&amp;" / "&amp;C10&amp;" ]")</f>
        <v>[ D / B ]</v>
      </c>
      <c r="G15" s="262"/>
      <c r="H15" s="262"/>
      <c r="I15" s="270" t="str">
        <f>("["&amp;C10&amp;"+"&amp;$G$10&amp;"+"&amp;$H$10&amp;"]")</f>
        <v>[B+F+G]</v>
      </c>
      <c r="J15" s="270" t="str">
        <f>("["&amp;D10&amp;"+"&amp;$G$10&amp;"+"&amp;$H$10&amp;"]")</f>
        <v>[C+F+G]</v>
      </c>
      <c r="K15" s="270" t="str">
        <f>("[("&amp;J10&amp;" - "&amp;I10&amp;")"&amp;I10&amp;"]")</f>
        <v>[(I - H)H]</v>
      </c>
      <c r="O15" s="180" t="s">
        <v>95</v>
      </c>
      <c r="S15" s="181" t="s">
        <v>99</v>
      </c>
    </row>
    <row r="16" spans="1:22" ht="13.5" thickBot="1" x14ac:dyDescent="0.25">
      <c r="A16" s="182"/>
      <c r="B16" s="182"/>
      <c r="C16" s="86"/>
      <c r="D16" s="86"/>
      <c r="E16" s="164"/>
      <c r="F16" s="164"/>
      <c r="G16" s="86"/>
      <c r="H16" s="86"/>
      <c r="I16" s="164"/>
      <c r="J16" s="86"/>
      <c r="K16" s="164"/>
      <c r="O16" s="183"/>
      <c r="P16" s="184" t="s">
        <v>85</v>
      </c>
      <c r="Q16" s="185"/>
      <c r="S16" s="186" t="str">
        <f>+INPUT!$O$60</f>
        <v>Oct</v>
      </c>
      <c r="T16" s="176"/>
      <c r="U16" s="176" t="s">
        <v>5</v>
      </c>
      <c r="V16" s="176" t="s">
        <v>5</v>
      </c>
    </row>
    <row r="17" spans="1:22" ht="13.5" thickBot="1" x14ac:dyDescent="0.25">
      <c r="A17" s="190" t="s">
        <v>86</v>
      </c>
      <c r="B17" s="190"/>
      <c r="O17" s="191" t="s">
        <v>86</v>
      </c>
      <c r="P17" s="187" t="s">
        <v>1</v>
      </c>
      <c r="Q17" s="187" t="s">
        <v>9</v>
      </c>
      <c r="R17" s="188" t="s">
        <v>20</v>
      </c>
      <c r="S17" s="189" t="s">
        <v>70</v>
      </c>
      <c r="T17" s="189" t="s">
        <v>71</v>
      </c>
      <c r="U17" s="176" t="s">
        <v>1</v>
      </c>
      <c r="V17" s="176" t="s">
        <v>9</v>
      </c>
    </row>
    <row r="18" spans="1:22" ht="15.75" thickBot="1" x14ac:dyDescent="0.25">
      <c r="A18" s="192" t="s">
        <v>353</v>
      </c>
      <c r="B18" s="200"/>
      <c r="C18" s="210"/>
      <c r="D18" s="211"/>
      <c r="E18" s="211"/>
      <c r="F18" s="310"/>
      <c r="G18" s="212"/>
      <c r="H18" s="211"/>
      <c r="I18" s="211"/>
      <c r="J18" s="211"/>
      <c r="K18" s="309"/>
      <c r="N18"/>
      <c r="O18" s="275" t="s">
        <v>353</v>
      </c>
      <c r="P18" s="300"/>
      <c r="Q18" s="301"/>
      <c r="R18"/>
      <c r="S18" s="196"/>
      <c r="T18" s="196"/>
      <c r="U18" s="197"/>
      <c r="V18" s="197"/>
    </row>
    <row r="19" spans="1:22" ht="15.75" thickBot="1" x14ac:dyDescent="0.25">
      <c r="A19" s="199" t="s">
        <v>354</v>
      </c>
      <c r="B19" s="402">
        <f t="shared" ref="B19:B21" si="0">+R19</f>
        <v>7.0999999999999994E-2</v>
      </c>
      <c r="C19" s="210">
        <f t="shared" ref="C19:D22" si="1">P19</f>
        <v>16.329999999999998</v>
      </c>
      <c r="D19" s="210">
        <f t="shared" si="1"/>
        <v>9.6300000000000008</v>
      </c>
      <c r="E19" s="211">
        <f>+D19-C19</f>
        <v>-6.6999999999999975</v>
      </c>
      <c r="F19" s="307">
        <f t="shared" ref="F19:F22" si="2">+E19/D19</f>
        <v>-0.69574247144340573</v>
      </c>
      <c r="G19" s="211">
        <f t="shared" ref="G19:G21" si="3">+S19</f>
        <v>-1.4998082985462086E-2</v>
      </c>
      <c r="H19" s="211">
        <f t="shared" ref="H19:H21" si="4">+T19</f>
        <v>5.0723735821140412E-2</v>
      </c>
      <c r="I19" s="210">
        <f>U19</f>
        <v>16.365725652835678</v>
      </c>
      <c r="J19" s="211">
        <f>+D19+G19+H19</f>
        <v>9.665725652835679</v>
      </c>
      <c r="K19" s="307">
        <f t="shared" ref="K19:K22" si="5">(J19-I19)/I19</f>
        <v>-0.40939217374935616</v>
      </c>
      <c r="M19" s="211"/>
      <c r="N19">
        <v>490</v>
      </c>
      <c r="O19" s="274" t="s">
        <v>354</v>
      </c>
      <c r="P19" s="302">
        <f>VLOOKUP($N19,INPUT!$AB$9:$AF$161,3,FALSE)</f>
        <v>16.329999999999998</v>
      </c>
      <c r="Q19" s="302">
        <f>VLOOKUP($N19,INPUT!$AB$9:$AF$161,4,FALSE)</f>
        <v>9.6300000000000008</v>
      </c>
      <c r="R19" s="198">
        <f>VLOOKUP($N19,INPUT!$AB$9:$AF$161,5,FALSE)</f>
        <v>7.0999999999999994E-2</v>
      </c>
      <c r="S19" s="196">
        <f>($R19*INPUT!$P$60)*INPUT!$G$63</f>
        <v>-1.4998082985462086E-2</v>
      </c>
      <c r="T19" s="196">
        <f>($R19*INPUT!$P$60)*INPUT!$I$63</f>
        <v>5.0723735821140412E-2</v>
      </c>
      <c r="U19" s="197">
        <f t="shared" ref="U19:U27" si="6">+P19+S19+T19</f>
        <v>16.365725652835678</v>
      </c>
      <c r="V19" s="197">
        <f t="shared" ref="V19" si="7">+Q19+S19+T19</f>
        <v>9.665725652835679</v>
      </c>
    </row>
    <row r="20" spans="1:22" ht="15.75" thickBot="1" x14ac:dyDescent="0.25">
      <c r="A20" s="199" t="s">
        <v>355</v>
      </c>
      <c r="B20" s="402">
        <f t="shared" si="0"/>
        <v>0.122</v>
      </c>
      <c r="C20" s="210">
        <f t="shared" si="1"/>
        <v>19.34</v>
      </c>
      <c r="D20" s="210">
        <f t="shared" si="1"/>
        <v>11.65</v>
      </c>
      <c r="E20" s="211">
        <f>+D20-C20</f>
        <v>-7.6899999999999995</v>
      </c>
      <c r="F20" s="307">
        <f t="shared" si="2"/>
        <v>-0.66008583690987122</v>
      </c>
      <c r="G20" s="211">
        <f t="shared" si="3"/>
        <v>-2.5771353862343308E-2</v>
      </c>
      <c r="H20" s="211">
        <f t="shared" si="4"/>
        <v>8.715909535463566E-2</v>
      </c>
      <c r="I20" s="210">
        <f t="shared" ref="I20:I22" si="8">U20</f>
        <v>19.401387741492293</v>
      </c>
      <c r="J20" s="211">
        <f>+D20+G20+H20</f>
        <v>11.711387741492294</v>
      </c>
      <c r="K20" s="307">
        <f t="shared" si="5"/>
        <v>-0.39636339948786103</v>
      </c>
      <c r="M20" s="211"/>
      <c r="N20">
        <v>491</v>
      </c>
      <c r="O20" s="274" t="s">
        <v>355</v>
      </c>
      <c r="P20" s="302">
        <f>VLOOKUP($N20,INPUT!$AB$9:$AF$161,3,FALSE)</f>
        <v>19.34</v>
      </c>
      <c r="Q20" s="302">
        <f>VLOOKUP($N20,INPUT!$AB$9:$AF$161,4,FALSE)</f>
        <v>11.65</v>
      </c>
      <c r="R20" s="198">
        <f>VLOOKUP($N20,INPUT!$AB$9:$AF$161,5,FALSE)</f>
        <v>0.122</v>
      </c>
      <c r="S20" s="196">
        <f>($R20*INPUT!$P$60)*INPUT!$G$63</f>
        <v>-2.5771353862343308E-2</v>
      </c>
      <c r="T20" s="196">
        <f>($R20*INPUT!$P$60)*INPUT!$I$63</f>
        <v>8.715909535463566E-2</v>
      </c>
      <c r="U20" s="197">
        <f t="shared" si="6"/>
        <v>19.401387741492293</v>
      </c>
      <c r="V20" s="197">
        <f t="shared" ref="V20:V22" si="9">+Q20+S20+T20</f>
        <v>11.711387741492294</v>
      </c>
    </row>
    <row r="21" spans="1:22" ht="15.75" thickBot="1" x14ac:dyDescent="0.25">
      <c r="A21" s="199" t="s">
        <v>356</v>
      </c>
      <c r="B21" s="402">
        <f t="shared" si="0"/>
        <v>0.19400000000000001</v>
      </c>
      <c r="C21" s="210">
        <f t="shared" si="1"/>
        <v>27.49</v>
      </c>
      <c r="D21" s="210">
        <f t="shared" si="1"/>
        <v>13.65</v>
      </c>
      <c r="E21" s="211">
        <f>+D21-C21</f>
        <v>-13.839999999999998</v>
      </c>
      <c r="F21" s="307">
        <f t="shared" si="2"/>
        <v>-1.0139194139194136</v>
      </c>
      <c r="G21" s="211">
        <f t="shared" si="3"/>
        <v>-4.0980677453234436E-2</v>
      </c>
      <c r="H21" s="211">
        <f t="shared" si="4"/>
        <v>0.13859724999015832</v>
      </c>
      <c r="I21" s="210">
        <f t="shared" si="8"/>
        <v>27.587616572536923</v>
      </c>
      <c r="J21" s="211">
        <f>+D21+G21+H21</f>
        <v>13.747616572536925</v>
      </c>
      <c r="K21" s="307">
        <f t="shared" si="5"/>
        <v>-0.50167436406150145</v>
      </c>
      <c r="M21" s="211"/>
      <c r="N21">
        <v>492</v>
      </c>
      <c r="O21" s="274" t="s">
        <v>356</v>
      </c>
      <c r="P21" s="302">
        <f>VLOOKUP($N21,INPUT!$AB$9:$AF$161,3,FALSE)</f>
        <v>27.49</v>
      </c>
      <c r="Q21" s="302">
        <f>VLOOKUP($N21,INPUT!$AB$9:$AF$161,4,FALSE)</f>
        <v>13.65</v>
      </c>
      <c r="R21" s="198">
        <f>VLOOKUP($N21,INPUT!$AB$9:$AF$161,5,FALSE)</f>
        <v>0.19400000000000001</v>
      </c>
      <c r="S21" s="196">
        <f>($R21*INPUT!$P$60)*INPUT!$G$63</f>
        <v>-4.0980677453234436E-2</v>
      </c>
      <c r="T21" s="196">
        <f>($R21*INPUT!$P$60)*INPUT!$I$63</f>
        <v>0.13859724999015832</v>
      </c>
      <c r="U21" s="197">
        <f t="shared" si="6"/>
        <v>27.587616572536923</v>
      </c>
      <c r="V21" s="197">
        <f t="shared" si="9"/>
        <v>13.747616572536925</v>
      </c>
    </row>
    <row r="22" spans="1:22" ht="15.75" thickBot="1" x14ac:dyDescent="0.25">
      <c r="A22" s="199" t="s">
        <v>357</v>
      </c>
      <c r="B22" s="402">
        <f t="shared" ref="B22" si="10">+R22</f>
        <v>4.8000000000000001E-2</v>
      </c>
      <c r="C22" s="210">
        <f t="shared" si="1"/>
        <v>11.53</v>
      </c>
      <c r="D22" s="210">
        <f t="shared" si="1"/>
        <v>8.74</v>
      </c>
      <c r="E22" s="211">
        <f>+D22-C22</f>
        <v>-2.7899999999999991</v>
      </c>
      <c r="F22" s="307">
        <f t="shared" si="2"/>
        <v>-0.31922196796338664</v>
      </c>
      <c r="G22" s="211">
        <f t="shared" ref="G22" si="11">+S22</f>
        <v>-1.0139549060594088E-2</v>
      </c>
      <c r="H22" s="211">
        <f t="shared" ref="H22" si="12">+T22</f>
        <v>3.4292103090348455E-2</v>
      </c>
      <c r="I22" s="210">
        <f t="shared" si="8"/>
        <v>11.554152554029752</v>
      </c>
      <c r="J22" s="211">
        <f>+D22+G22+H22</f>
        <v>8.7641525540297529</v>
      </c>
      <c r="K22" s="307">
        <f t="shared" si="5"/>
        <v>-0.24147162563012278</v>
      </c>
      <c r="M22" s="211"/>
      <c r="N22">
        <v>493</v>
      </c>
      <c r="O22" s="274" t="s">
        <v>357</v>
      </c>
      <c r="P22" s="302">
        <f>VLOOKUP($N22,INPUT!$AB$9:$AF$161,3,FALSE)</f>
        <v>11.53</v>
      </c>
      <c r="Q22" s="302">
        <f>VLOOKUP($N22,INPUT!$AB$9:$AF$161,4,FALSE)</f>
        <v>8.74</v>
      </c>
      <c r="R22" s="198">
        <f>VLOOKUP($N22,INPUT!$AB$9:$AF$161,5,FALSE)</f>
        <v>4.8000000000000001E-2</v>
      </c>
      <c r="S22" s="196">
        <f>($R22*INPUT!$P$60)*INPUT!$G$63</f>
        <v>-1.0139549060594088E-2</v>
      </c>
      <c r="T22" s="196">
        <f>($R22*INPUT!$P$60)*INPUT!$I$63</f>
        <v>3.4292103090348455E-2</v>
      </c>
      <c r="U22" s="197">
        <f t="shared" si="6"/>
        <v>11.554152554029752</v>
      </c>
      <c r="V22" s="197">
        <f t="shared" si="9"/>
        <v>8.7641525540297529</v>
      </c>
    </row>
    <row r="23" spans="1:22" ht="15.75" thickBot="1" x14ac:dyDescent="0.25">
      <c r="A23" s="199" t="s">
        <v>428</v>
      </c>
      <c r="B23" s="402">
        <f t="shared" ref="B23:B27" si="13">+R23</f>
        <v>2.1999999999999999E-2</v>
      </c>
      <c r="C23" s="210" t="s">
        <v>500</v>
      </c>
      <c r="D23" s="210">
        <f t="shared" ref="D23:D27" si="14">Q23</f>
        <v>8.4</v>
      </c>
      <c r="E23" s="210" t="s">
        <v>500</v>
      </c>
      <c r="F23" s="304" t="s">
        <v>378</v>
      </c>
      <c r="G23" s="211">
        <f t="shared" ref="G23:G27" si="15">+S23</f>
        <v>-4.6472933194389573E-3</v>
      </c>
      <c r="H23" s="211">
        <f t="shared" ref="H23:H27" si="16">+T23</f>
        <v>1.5717213916409709E-2</v>
      </c>
      <c r="I23" s="304" t="s">
        <v>378</v>
      </c>
      <c r="J23" s="211">
        <f t="shared" ref="J23:J27" si="17">+D23+G23+H23</f>
        <v>8.4110699205969723</v>
      </c>
      <c r="K23" s="308" t="s">
        <v>378</v>
      </c>
      <c r="M23" s="211"/>
      <c r="N23" t="s">
        <v>417</v>
      </c>
      <c r="O23" s="274" t="s">
        <v>428</v>
      </c>
      <c r="P23" s="302">
        <f>VLOOKUP($N23,INPUT!$AB$9:$AF$161,3,FALSE)</f>
        <v>0</v>
      </c>
      <c r="Q23" s="302">
        <f>VLOOKUP($N23,INPUT!$AB$9:$AF$161,4,FALSE)</f>
        <v>8.4</v>
      </c>
      <c r="R23" s="198">
        <f>VLOOKUP($N23,INPUT!$AB$9:$AF$161,5,FALSE)</f>
        <v>2.1999999999999999E-2</v>
      </c>
      <c r="S23" s="196">
        <f>($R23*INPUT!$P$60)*INPUT!$G$63</f>
        <v>-4.6472933194389573E-3</v>
      </c>
      <c r="T23" s="196">
        <f>($R23*INPUT!$P$60)*INPUT!$I$63</f>
        <v>1.5717213916409709E-2</v>
      </c>
      <c r="U23" s="197">
        <f t="shared" si="6"/>
        <v>1.1069920596970751E-2</v>
      </c>
      <c r="V23" s="197">
        <f t="shared" ref="V23:V27" si="18">+Q23+S23+T23</f>
        <v>8.4110699205969723</v>
      </c>
    </row>
    <row r="24" spans="1:22" ht="15.75" thickBot="1" x14ac:dyDescent="0.25">
      <c r="A24" s="199" t="s">
        <v>429</v>
      </c>
      <c r="B24" s="402">
        <f t="shared" si="13"/>
        <v>0.03</v>
      </c>
      <c r="C24" s="210" t="s">
        <v>500</v>
      </c>
      <c r="D24" s="210">
        <f t="shared" si="14"/>
        <v>11.21</v>
      </c>
      <c r="E24" s="210" t="s">
        <v>500</v>
      </c>
      <c r="F24" s="304" t="s">
        <v>378</v>
      </c>
      <c r="G24" s="211">
        <f t="shared" si="15"/>
        <v>-6.3372181628713045E-3</v>
      </c>
      <c r="H24" s="211">
        <f t="shared" si="16"/>
        <v>2.1432564431467783E-2</v>
      </c>
      <c r="I24" s="304" t="s">
        <v>378</v>
      </c>
      <c r="J24" s="211">
        <f t="shared" si="17"/>
        <v>11.225095346268597</v>
      </c>
      <c r="K24" s="308" t="s">
        <v>378</v>
      </c>
      <c r="M24" s="211"/>
      <c r="N24" t="s">
        <v>418</v>
      </c>
      <c r="O24" s="274" t="s">
        <v>429</v>
      </c>
      <c r="P24" s="302">
        <f>VLOOKUP($N24,INPUT!$AB$9:$AF$161,3,FALSE)</f>
        <v>0</v>
      </c>
      <c r="Q24" s="302">
        <f>VLOOKUP($N24,INPUT!$AB$9:$AF$161,4,FALSE)</f>
        <v>11.21</v>
      </c>
      <c r="R24" s="198">
        <f>VLOOKUP($N24,INPUT!$AB$9:$AF$161,5,FALSE)</f>
        <v>0.03</v>
      </c>
      <c r="S24" s="196">
        <f>($R24*INPUT!$P$60)*INPUT!$G$63</f>
        <v>-6.3372181628713045E-3</v>
      </c>
      <c r="T24" s="196">
        <f>($R24*INPUT!$P$60)*INPUT!$I$63</f>
        <v>2.1432564431467783E-2</v>
      </c>
      <c r="U24" s="197">
        <f t="shared" si="6"/>
        <v>1.5095346268596477E-2</v>
      </c>
      <c r="V24" s="197">
        <f t="shared" si="18"/>
        <v>11.225095346268597</v>
      </c>
    </row>
    <row r="25" spans="1:22" ht="15.75" thickBot="1" x14ac:dyDescent="0.25">
      <c r="A25" s="199" t="s">
        <v>430</v>
      </c>
      <c r="B25" s="402">
        <f t="shared" si="13"/>
        <v>0.09</v>
      </c>
      <c r="C25" s="210" t="s">
        <v>500</v>
      </c>
      <c r="D25" s="210">
        <f t="shared" si="14"/>
        <v>13.01</v>
      </c>
      <c r="E25" s="210" t="s">
        <v>500</v>
      </c>
      <c r="F25" s="304" t="s">
        <v>378</v>
      </c>
      <c r="G25" s="211">
        <f t="shared" si="15"/>
        <v>-1.9011654488613913E-2</v>
      </c>
      <c r="H25" s="211">
        <f t="shared" si="16"/>
        <v>6.4297693294403352E-2</v>
      </c>
      <c r="I25" s="304" t="s">
        <v>378</v>
      </c>
      <c r="J25" s="211">
        <f t="shared" si="17"/>
        <v>13.055286038805789</v>
      </c>
      <c r="K25" s="308" t="s">
        <v>378</v>
      </c>
      <c r="M25" s="211"/>
      <c r="N25" t="s">
        <v>419</v>
      </c>
      <c r="O25" s="274" t="s">
        <v>430</v>
      </c>
      <c r="P25" s="302">
        <f>VLOOKUP($N25,INPUT!$AB$9:$AF$161,3,FALSE)</f>
        <v>0</v>
      </c>
      <c r="Q25" s="302">
        <f>VLOOKUP($N25,INPUT!$AB$9:$AF$161,4,FALSE)</f>
        <v>13.01</v>
      </c>
      <c r="R25" s="198">
        <f>VLOOKUP($N25,INPUT!$AB$9:$AF$161,5,FALSE)</f>
        <v>0.09</v>
      </c>
      <c r="S25" s="196">
        <f>($R25*INPUT!$P$60)*INPUT!$G$63</f>
        <v>-1.9011654488613913E-2</v>
      </c>
      <c r="T25" s="196">
        <f>($R25*INPUT!$P$60)*INPUT!$I$63</f>
        <v>6.4297693294403352E-2</v>
      </c>
      <c r="U25" s="197">
        <f t="shared" si="6"/>
        <v>4.5286038805789436E-2</v>
      </c>
      <c r="V25" s="197">
        <f t="shared" si="18"/>
        <v>13.055286038805789</v>
      </c>
    </row>
    <row r="26" spans="1:22" ht="15.75" thickBot="1" x14ac:dyDescent="0.25">
      <c r="A26" s="199" t="s">
        <v>431</v>
      </c>
      <c r="B26" s="402">
        <f t="shared" si="13"/>
        <v>0.17499999999999999</v>
      </c>
      <c r="C26" s="210" t="s">
        <v>500</v>
      </c>
      <c r="D26" s="210">
        <f t="shared" si="14"/>
        <v>15.36</v>
      </c>
      <c r="E26" s="210" t="s">
        <v>500</v>
      </c>
      <c r="F26" s="304" t="s">
        <v>378</v>
      </c>
      <c r="G26" s="211">
        <f t="shared" si="15"/>
        <v>-3.6967105950082603E-2</v>
      </c>
      <c r="H26" s="211">
        <f t="shared" si="16"/>
        <v>0.1250232925168954</v>
      </c>
      <c r="I26" s="304" t="s">
        <v>378</v>
      </c>
      <c r="J26" s="211">
        <f t="shared" si="17"/>
        <v>15.448056186566811</v>
      </c>
      <c r="K26" s="308" t="s">
        <v>378</v>
      </c>
      <c r="M26" s="211"/>
      <c r="N26" t="s">
        <v>420</v>
      </c>
      <c r="O26" s="274" t="s">
        <v>431</v>
      </c>
      <c r="P26" s="302">
        <f>VLOOKUP($N26,INPUT!$AB$9:$AF$161,3,FALSE)</f>
        <v>0</v>
      </c>
      <c r="Q26" s="302">
        <f>VLOOKUP($N26,INPUT!$AB$9:$AF$161,4,FALSE)</f>
        <v>15.36</v>
      </c>
      <c r="R26" s="198">
        <f>VLOOKUP($N26,INPUT!$AB$9:$AF$161,5,FALSE)</f>
        <v>0.17499999999999999</v>
      </c>
      <c r="S26" s="196">
        <f>($R26*INPUT!$P$60)*INPUT!$G$63</f>
        <v>-3.6967105950082603E-2</v>
      </c>
      <c r="T26" s="196">
        <f>($R26*INPUT!$P$60)*INPUT!$I$63</f>
        <v>0.1250232925168954</v>
      </c>
      <c r="U26" s="197">
        <f t="shared" si="6"/>
        <v>8.80561865668128E-2</v>
      </c>
      <c r="V26" s="197">
        <f t="shared" si="18"/>
        <v>15.448056186566811</v>
      </c>
    </row>
    <row r="27" spans="1:22" ht="15.75" thickBot="1" x14ac:dyDescent="0.25">
      <c r="A27" s="199" t="s">
        <v>432</v>
      </c>
      <c r="B27" s="402">
        <f t="shared" si="13"/>
        <v>0.29699999999999999</v>
      </c>
      <c r="C27" s="210" t="s">
        <v>500</v>
      </c>
      <c r="D27" s="210">
        <f t="shared" si="14"/>
        <v>21.93</v>
      </c>
      <c r="E27" s="210" t="s">
        <v>500</v>
      </c>
      <c r="F27" s="304" t="s">
        <v>378</v>
      </c>
      <c r="G27" s="211">
        <f t="shared" si="15"/>
        <v>-6.2738459812425915E-2</v>
      </c>
      <c r="H27" s="211">
        <f t="shared" si="16"/>
        <v>0.21218238787153104</v>
      </c>
      <c r="I27" s="304" t="s">
        <v>378</v>
      </c>
      <c r="J27" s="211">
        <f t="shared" si="17"/>
        <v>22.079443928059106</v>
      </c>
      <c r="K27" s="308" t="s">
        <v>378</v>
      </c>
      <c r="M27" s="211"/>
      <c r="N27" t="s">
        <v>421</v>
      </c>
      <c r="O27" s="274" t="s">
        <v>432</v>
      </c>
      <c r="P27" s="302">
        <f>VLOOKUP($N27,INPUT!$AB$9:$AF$161,3,FALSE)</f>
        <v>0</v>
      </c>
      <c r="Q27" s="302">
        <f>VLOOKUP($N27,INPUT!$AB$9:$AF$161,4,FALSE)</f>
        <v>21.93</v>
      </c>
      <c r="R27" s="198">
        <f>VLOOKUP($N27,INPUT!$AB$9:$AF$161,5,FALSE)</f>
        <v>0.29699999999999999</v>
      </c>
      <c r="S27" s="196">
        <f>($R27*INPUT!$P$60)*INPUT!$G$63</f>
        <v>-6.2738459812425915E-2</v>
      </c>
      <c r="T27" s="196">
        <f>($R27*INPUT!$P$60)*INPUT!$I$63</f>
        <v>0.21218238787153104</v>
      </c>
      <c r="U27" s="197">
        <f t="shared" si="6"/>
        <v>0.14944392805910511</v>
      </c>
      <c r="V27" s="197">
        <f t="shared" si="18"/>
        <v>22.079443928059106</v>
      </c>
    </row>
    <row r="28" spans="1:22" ht="15" x14ac:dyDescent="0.2">
      <c r="A28" s="228"/>
      <c r="B28" s="172"/>
      <c r="D28" s="194"/>
      <c r="E28" s="194"/>
      <c r="F28" s="194"/>
      <c r="G28" s="195"/>
      <c r="H28" s="197"/>
      <c r="I28" s="197"/>
      <c r="J28" s="197"/>
      <c r="K28" s="195"/>
      <c r="O28" s="121"/>
      <c r="P28" s="369"/>
      <c r="Q28" s="369"/>
      <c r="R28" s="198"/>
      <c r="S28" s="196"/>
      <c r="T28" s="196"/>
      <c r="U28" s="197"/>
      <c r="V28" s="197"/>
    </row>
    <row r="29" spans="1:22" ht="15" x14ac:dyDescent="0.2">
      <c r="A29" s="175" t="s">
        <v>314</v>
      </c>
      <c r="D29" s="194"/>
      <c r="E29" s="194"/>
      <c r="F29" s="194"/>
      <c r="G29" s="195"/>
      <c r="H29" s="197"/>
      <c r="I29" s="197"/>
      <c r="J29" s="197"/>
      <c r="K29" s="195"/>
      <c r="O29" s="121"/>
      <c r="P29" s="369"/>
      <c r="Q29" s="369"/>
      <c r="R29" s="198"/>
      <c r="S29" s="196"/>
      <c r="T29" s="196"/>
      <c r="U29" s="197"/>
      <c r="V29" s="197"/>
    </row>
    <row r="30" spans="1:22" ht="15" x14ac:dyDescent="0.2">
      <c r="A30" s="172" t="s">
        <v>328</v>
      </c>
      <c r="B30" s="172"/>
      <c r="D30" s="194"/>
      <c r="E30" s="194"/>
      <c r="F30" s="194"/>
      <c r="G30" s="195"/>
      <c r="H30" s="197"/>
      <c r="I30" s="197"/>
      <c r="J30" s="197"/>
      <c r="K30" s="195"/>
      <c r="O30" s="121"/>
      <c r="P30" s="369"/>
      <c r="Q30" s="369"/>
      <c r="R30" s="198"/>
      <c r="S30" s="196"/>
      <c r="T30" s="196"/>
      <c r="U30" s="197"/>
      <c r="V30" s="197"/>
    </row>
    <row r="31" spans="1:22" x14ac:dyDescent="0.2">
      <c r="A31" s="172" t="str">
        <f>+'Rate Case Constants'!$C$26</f>
        <v>Calculations may vary from other schedules due to rounding</v>
      </c>
      <c r="B31" s="199"/>
      <c r="D31" s="194"/>
      <c r="E31" s="194"/>
      <c r="F31" s="194"/>
      <c r="G31" s="195"/>
      <c r="H31" s="197"/>
      <c r="I31" s="197"/>
      <c r="J31" s="197"/>
      <c r="K31" s="195"/>
      <c r="N31" s="88" t="s">
        <v>138</v>
      </c>
      <c r="O31" s="199"/>
      <c r="P31" s="203"/>
      <c r="Q31" s="203"/>
      <c r="R31" s="198"/>
      <c r="S31" s="196"/>
      <c r="T31" s="196"/>
      <c r="U31" s="197"/>
      <c r="V31" s="197"/>
    </row>
    <row r="32" spans="1:22" x14ac:dyDescent="0.2">
      <c r="A32" s="426" t="str">
        <f>+A1</f>
        <v>LOUISVILLE GAS AND ELECTRIC COMPANY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O32" s="199"/>
      <c r="P32" s="203"/>
      <c r="Q32" s="203"/>
      <c r="R32" s="198"/>
      <c r="S32" s="196"/>
      <c r="T32" s="196"/>
      <c r="U32" s="197"/>
      <c r="V32" s="197"/>
    </row>
    <row r="33" spans="1:22" x14ac:dyDescent="0.2">
      <c r="A33" s="426" t="str">
        <f>+A2</f>
        <v>CASE NO. 2018-00295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O33" s="199"/>
      <c r="P33" s="203"/>
      <c r="Q33" s="203"/>
      <c r="R33" s="198"/>
      <c r="S33" s="196"/>
      <c r="T33" s="196"/>
      <c r="U33" s="197"/>
      <c r="V33" s="197"/>
    </row>
    <row r="34" spans="1:22" x14ac:dyDescent="0.2">
      <c r="A34" s="428" t="str">
        <f>+A3</f>
        <v>Typical Bill Comparison under Present &amp; Proposed Rates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O34" s="199"/>
      <c r="P34" s="203"/>
      <c r="Q34" s="203"/>
      <c r="R34" s="198"/>
      <c r="S34" s="196"/>
      <c r="T34" s="196"/>
      <c r="U34" s="197"/>
      <c r="V34" s="197"/>
    </row>
    <row r="35" spans="1:22" x14ac:dyDescent="0.2">
      <c r="A35" s="426" t="str">
        <f>+A4</f>
        <v>FORECAST PERIOD FOR THE 12 MONTHS ENDED APRIL 30, 2020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O35" s="199"/>
      <c r="P35" s="203"/>
      <c r="Q35" s="203"/>
      <c r="R35" s="198"/>
      <c r="S35" s="196"/>
      <c r="T35" s="196"/>
      <c r="U35" s="197"/>
      <c r="V35" s="197"/>
    </row>
    <row r="36" spans="1:22" x14ac:dyDescent="0.2">
      <c r="A36" s="178"/>
      <c r="B36" s="83"/>
      <c r="C36" s="271"/>
      <c r="D36" s="282"/>
      <c r="E36" s="282"/>
      <c r="F36" s="282"/>
      <c r="G36" s="243"/>
      <c r="H36" s="283"/>
      <c r="I36" s="283"/>
      <c r="J36" s="283"/>
      <c r="K36" s="243"/>
      <c r="O36" s="199"/>
      <c r="P36" s="203"/>
      <c r="Q36" s="203"/>
      <c r="R36" s="198"/>
      <c r="S36" s="196"/>
      <c r="T36" s="196"/>
      <c r="U36" s="197"/>
      <c r="V36" s="197"/>
    </row>
    <row r="37" spans="1:22" x14ac:dyDescent="0.2">
      <c r="A37" s="178" t="str">
        <f>+A6</f>
        <v>DATA: ____BASE PERIOD__X___FORECASTED PERIOD</v>
      </c>
      <c r="B37" s="83"/>
      <c r="C37" s="271"/>
      <c r="D37" s="282"/>
      <c r="E37" s="282"/>
      <c r="F37" s="282"/>
      <c r="G37" s="243"/>
      <c r="H37" s="283"/>
      <c r="I37" s="283"/>
      <c r="J37" s="283"/>
      <c r="K37" s="244" t="str">
        <f>+K6</f>
        <v>SCHEDULE N</v>
      </c>
      <c r="O37" s="199"/>
      <c r="P37" s="203"/>
      <c r="Q37" s="203"/>
      <c r="R37" s="198"/>
      <c r="S37" s="196"/>
      <c r="T37" s="196"/>
      <c r="U37" s="197"/>
      <c r="V37" s="197"/>
    </row>
    <row r="38" spans="1:22" x14ac:dyDescent="0.2">
      <c r="A38" s="178" t="str">
        <f>+A7</f>
        <v>TYPE OF FILING: __X__ ORIGINAL  _____ UPDATED  _____ REVISED</v>
      </c>
      <c r="B38" s="83"/>
      <c r="C38" s="271"/>
      <c r="D38" s="282"/>
      <c r="E38" s="282"/>
      <c r="F38" s="282"/>
      <c r="G38" s="243"/>
      <c r="H38" s="283"/>
      <c r="I38" s="283"/>
      <c r="J38" s="283"/>
      <c r="K38" s="244" t="str">
        <f>+'Rate Case Constants'!L22</f>
        <v>PAGE 15 of 26</v>
      </c>
      <c r="O38" s="199"/>
      <c r="P38" s="203"/>
      <c r="Q38" s="203"/>
      <c r="R38" s="198"/>
      <c r="S38" s="196"/>
      <c r="T38" s="196"/>
      <c r="U38" s="197"/>
      <c r="V38" s="197"/>
    </row>
    <row r="39" spans="1:22" x14ac:dyDescent="0.2">
      <c r="A39" s="178" t="str">
        <f>+A8</f>
        <v>WORKPAPER REFERENCE NO(S):________</v>
      </c>
      <c r="B39" s="83"/>
      <c r="C39" s="271"/>
      <c r="D39" s="282"/>
      <c r="E39" s="282"/>
      <c r="F39" s="282"/>
      <c r="G39" s="243"/>
      <c r="H39" s="283"/>
      <c r="I39" s="283"/>
      <c r="J39" s="283"/>
      <c r="K39" s="244" t="str">
        <f>+K8</f>
        <v>WITNESS:   R. M. CONROY</v>
      </c>
      <c r="O39" s="199"/>
      <c r="P39" s="203"/>
      <c r="Q39" s="203"/>
      <c r="R39" s="198"/>
      <c r="S39" s="196"/>
      <c r="T39" s="196"/>
      <c r="U39" s="197"/>
      <c r="V39" s="197"/>
    </row>
    <row r="40" spans="1:22" x14ac:dyDescent="0.2">
      <c r="A40" s="199"/>
      <c r="B40" s="199"/>
      <c r="C40" s="224"/>
      <c r="D40" s="226"/>
      <c r="E40" s="226"/>
      <c r="F40" s="226"/>
      <c r="G40" s="225"/>
      <c r="H40" s="227"/>
      <c r="I40" s="227"/>
      <c r="J40" s="227"/>
      <c r="K40" s="285"/>
      <c r="O40" s="199"/>
      <c r="P40" s="203"/>
      <c r="Q40" s="203"/>
      <c r="R40" s="198"/>
      <c r="S40" s="196"/>
      <c r="T40" s="196"/>
      <c r="U40" s="197"/>
      <c r="V40" s="197"/>
    </row>
    <row r="41" spans="1:22" x14ac:dyDescent="0.2">
      <c r="A41" s="85" t="s">
        <v>335</v>
      </c>
      <c r="B41" s="3" t="s">
        <v>304</v>
      </c>
      <c r="C41" s="26" t="s">
        <v>305</v>
      </c>
      <c r="D41" s="26" t="s">
        <v>306</v>
      </c>
      <c r="E41" s="3" t="s">
        <v>307</v>
      </c>
      <c r="F41" s="3" t="s">
        <v>308</v>
      </c>
      <c r="G41" s="26" t="s">
        <v>309</v>
      </c>
      <c r="H41" s="3" t="s">
        <v>310</v>
      </c>
      <c r="I41" s="3" t="s">
        <v>311</v>
      </c>
      <c r="J41" s="3" t="s">
        <v>312</v>
      </c>
      <c r="K41" s="3" t="s">
        <v>313</v>
      </c>
      <c r="O41" s="199"/>
      <c r="P41" s="203"/>
      <c r="Q41" s="203"/>
      <c r="R41" s="198"/>
      <c r="S41" s="196"/>
      <c r="T41" s="196"/>
      <c r="U41" s="197"/>
      <c r="V41" s="197"/>
    </row>
    <row r="42" spans="1:22" x14ac:dyDescent="0.2">
      <c r="A42" s="199"/>
      <c r="B42" s="41"/>
      <c r="C42" s="231" t="s">
        <v>339</v>
      </c>
      <c r="D42" s="231" t="s">
        <v>339</v>
      </c>
      <c r="E42"/>
      <c r="F42"/>
      <c r="G42" s="30"/>
      <c r="H42" s="30"/>
      <c r="I42" s="3" t="s">
        <v>5</v>
      </c>
      <c r="J42" s="3" t="s">
        <v>5</v>
      </c>
      <c r="K42"/>
      <c r="O42" s="199"/>
      <c r="P42" s="203"/>
      <c r="Q42" s="203"/>
      <c r="R42" s="198"/>
      <c r="S42" s="196"/>
      <c r="T42" s="196"/>
      <c r="U42" s="197"/>
      <c r="V42" s="197"/>
    </row>
    <row r="43" spans="1:22" x14ac:dyDescent="0.2">
      <c r="A43" s="199"/>
      <c r="B43" s="3" t="s">
        <v>327</v>
      </c>
      <c r="C43" s="3" t="s">
        <v>1</v>
      </c>
      <c r="D43" s="3" t="s">
        <v>73</v>
      </c>
      <c r="E43" s="3"/>
      <c r="F43" s="3"/>
      <c r="G43" s="440" t="s">
        <v>126</v>
      </c>
      <c r="H43" s="440"/>
      <c r="I43" s="3" t="s">
        <v>1</v>
      </c>
      <c r="J43" s="3" t="s">
        <v>73</v>
      </c>
      <c r="K43" s="3"/>
      <c r="O43" s="199"/>
      <c r="P43" s="203"/>
      <c r="Q43" s="203"/>
      <c r="R43" s="198"/>
      <c r="S43" s="196"/>
      <c r="T43" s="196"/>
      <c r="U43" s="197"/>
      <c r="V43" s="197"/>
    </row>
    <row r="44" spans="1:22" x14ac:dyDescent="0.2">
      <c r="A44" s="199"/>
      <c r="B44" s="3" t="s">
        <v>20</v>
      </c>
      <c r="C44" s="3" t="s">
        <v>4</v>
      </c>
      <c r="D44" s="3" t="s">
        <v>4</v>
      </c>
      <c r="E44" s="3" t="s">
        <v>74</v>
      </c>
      <c r="F44" s="3" t="s">
        <v>74</v>
      </c>
      <c r="G44" s="164" t="s">
        <v>376</v>
      </c>
      <c r="H44" s="51" t="s">
        <v>71</v>
      </c>
      <c r="I44" s="3" t="s">
        <v>4</v>
      </c>
      <c r="J44" s="3" t="s">
        <v>4</v>
      </c>
      <c r="K44" s="3" t="s">
        <v>74</v>
      </c>
      <c r="O44" s="199"/>
      <c r="P44" s="203"/>
      <c r="Q44" s="203"/>
      <c r="R44" s="198"/>
      <c r="S44" s="196"/>
      <c r="T44" s="196"/>
      <c r="U44" s="197"/>
      <c r="V44" s="197"/>
    </row>
    <row r="45" spans="1:22" x14ac:dyDescent="0.2">
      <c r="A45" s="199"/>
      <c r="B45" s="41"/>
      <c r="C45" s="3"/>
      <c r="D45" s="3"/>
      <c r="E45" s="3" t="s">
        <v>68</v>
      </c>
      <c r="F45" s="26" t="s">
        <v>69</v>
      </c>
      <c r="G45" s="50"/>
      <c r="H45" s="52"/>
      <c r="I45" s="3" t="s">
        <v>68</v>
      </c>
      <c r="J45" s="3" t="s">
        <v>68</v>
      </c>
      <c r="K45" s="26" t="s">
        <v>69</v>
      </c>
      <c r="O45" s="199"/>
      <c r="P45" s="203"/>
      <c r="Q45" s="203"/>
      <c r="R45" s="198"/>
      <c r="S45" s="196"/>
      <c r="T45" s="196"/>
      <c r="U45" s="197"/>
      <c r="V45" s="197"/>
    </row>
    <row r="46" spans="1:22" x14ac:dyDescent="0.2">
      <c r="A46" s="204"/>
      <c r="B46" s="247"/>
      <c r="C46" s="270"/>
      <c r="D46" s="270"/>
      <c r="E46" s="270" t="str">
        <f>("[ "&amp;D41&amp;" - "&amp;C41&amp;" ]")</f>
        <v>[ C - B ]</v>
      </c>
      <c r="F46" s="270" t="str">
        <f>("[ "&amp;E41&amp;" / "&amp;C41&amp;" ]")</f>
        <v>[ D / B ]</v>
      </c>
      <c r="G46" s="262"/>
      <c r="H46" s="262"/>
      <c r="I46" s="270" t="str">
        <f>("["&amp;C41&amp;"+"&amp;$G$10&amp;"+"&amp;$H$10&amp;"]")</f>
        <v>[B+F+G]</v>
      </c>
      <c r="J46" s="270" t="str">
        <f>("["&amp;D41&amp;"+"&amp;$G$10&amp;"+"&amp;$H$10&amp;"]")</f>
        <v>[C+F+G]</v>
      </c>
      <c r="K46" s="270" t="str">
        <f>("[("&amp;J41&amp;" - "&amp;I41&amp;")"&amp;I41&amp;"]")</f>
        <v>[(I - H)H]</v>
      </c>
      <c r="O46" s="199"/>
      <c r="P46" s="203"/>
      <c r="Q46" s="203"/>
      <c r="R46" s="198"/>
      <c r="S46" s="196"/>
      <c r="T46" s="196"/>
      <c r="U46" s="197"/>
      <c r="V46" s="197"/>
    </row>
    <row r="47" spans="1:22" ht="13.5" thickBot="1" x14ac:dyDescent="0.25">
      <c r="A47" s="199"/>
      <c r="B47" s="284"/>
      <c r="C47" s="273"/>
      <c r="D47" s="273"/>
      <c r="E47" s="273"/>
      <c r="F47" s="273"/>
      <c r="G47" s="154"/>
      <c r="H47" s="154"/>
      <c r="I47" s="273"/>
      <c r="J47" s="273"/>
      <c r="K47" s="273"/>
      <c r="O47" s="199"/>
      <c r="P47" s="203"/>
      <c r="Q47" s="203"/>
      <c r="R47" s="198"/>
      <c r="S47" s="196"/>
      <c r="T47" s="196"/>
      <c r="U47" s="197"/>
      <c r="V47" s="197"/>
    </row>
    <row r="48" spans="1:22" ht="15.75" thickBot="1" x14ac:dyDescent="0.25">
      <c r="A48" s="190" t="s">
        <v>89</v>
      </c>
      <c r="B48" s="190"/>
      <c r="C48" s="224"/>
      <c r="D48" s="193"/>
      <c r="E48" s="193"/>
      <c r="F48" s="193"/>
      <c r="G48" s="225"/>
      <c r="H48" s="193"/>
      <c r="I48" s="193"/>
      <c r="J48" s="193"/>
      <c r="K48" s="225"/>
      <c r="O48" s="274" t="s">
        <v>89</v>
      </c>
      <c r="P48" s="302"/>
      <c r="Q48" s="303"/>
      <c r="R48" s="198"/>
      <c r="S48" s="196"/>
      <c r="T48" s="196"/>
    </row>
    <row r="49" spans="1:22" ht="15.75" thickBot="1" x14ac:dyDescent="0.25">
      <c r="A49" s="192" t="s">
        <v>353</v>
      </c>
      <c r="B49" s="200"/>
      <c r="C49" s="210"/>
      <c r="D49" s="211"/>
      <c r="E49" s="211"/>
      <c r="F49" s="310"/>
      <c r="G49" s="212"/>
      <c r="H49" s="211"/>
      <c r="I49" s="211"/>
      <c r="J49" s="211"/>
      <c r="K49" s="307"/>
      <c r="N49"/>
      <c r="O49" s="275" t="s">
        <v>353</v>
      </c>
      <c r="P49" s="300"/>
      <c r="Q49" s="301"/>
      <c r="R49"/>
      <c r="S49" s="196"/>
      <c r="T49" s="196"/>
      <c r="U49" s="197"/>
      <c r="V49" s="197"/>
    </row>
    <row r="50" spans="1:22" ht="15.75" thickBot="1" x14ac:dyDescent="0.25">
      <c r="A50" s="199" t="s">
        <v>454</v>
      </c>
      <c r="B50" s="402">
        <f t="shared" ref="B50:B54" si="19">+R50</f>
        <v>2.1999999999999999E-2</v>
      </c>
      <c r="C50" s="210" t="s">
        <v>500</v>
      </c>
      <c r="D50" s="210">
        <f t="shared" ref="D50:D64" si="20">Q50</f>
        <v>3.94</v>
      </c>
      <c r="E50" s="210" t="s">
        <v>500</v>
      </c>
      <c r="F50" s="304" t="s">
        <v>378</v>
      </c>
      <c r="G50" s="211">
        <f t="shared" ref="G50:G54" si="21">+S50</f>
        <v>-4.6472933194389573E-3</v>
      </c>
      <c r="H50" s="211">
        <f t="shared" ref="H50:H54" si="22">+T50</f>
        <v>1.5717213916409709E-2</v>
      </c>
      <c r="I50" s="210" t="s">
        <v>500</v>
      </c>
      <c r="J50" s="211">
        <f t="shared" ref="J50:J54" si="23">+D50+G50+H50</f>
        <v>3.951069920596971</v>
      </c>
      <c r="K50" s="308" t="s">
        <v>378</v>
      </c>
      <c r="M50" s="211"/>
      <c r="N50" s="30" t="s">
        <v>433</v>
      </c>
      <c r="O50" s="274" t="s">
        <v>454</v>
      </c>
      <c r="P50" s="302">
        <f>VLOOKUP($N50,INPUT!$AB$9:$AF$161,3,FALSE)</f>
        <v>0</v>
      </c>
      <c r="Q50" s="302">
        <f>VLOOKUP($N50,INPUT!$AB$9:$AF$161,4,FALSE)</f>
        <v>3.94</v>
      </c>
      <c r="R50" s="198">
        <f>VLOOKUP($N50,INPUT!$AB$9:$AF$161,5,FALSE)</f>
        <v>2.1999999999999999E-2</v>
      </c>
      <c r="S50" s="196">
        <f>($R50*INPUT!$P$60)*INPUT!$G$63</f>
        <v>-4.6472933194389573E-3</v>
      </c>
      <c r="T50" s="196">
        <f>($R50*INPUT!$P$60)*INPUT!$I$63</f>
        <v>1.5717213916409709E-2</v>
      </c>
      <c r="U50" s="197">
        <f t="shared" ref="U50:U64" si="24">+P50+S50+T50</f>
        <v>1.1069920596970751E-2</v>
      </c>
      <c r="V50" s="197">
        <f t="shared" ref="V50:V64" si="25">+Q50+S50+T50</f>
        <v>3.951069920596971</v>
      </c>
    </row>
    <row r="51" spans="1:22" ht="15.75" thickBot="1" x14ac:dyDescent="0.25">
      <c r="A51" s="199" t="s">
        <v>362</v>
      </c>
      <c r="B51" s="402">
        <f t="shared" si="19"/>
        <v>7.0999999999999994E-2</v>
      </c>
      <c r="C51" s="210">
        <f t="shared" ref="C51:C54" si="26">P51</f>
        <v>54.63</v>
      </c>
      <c r="D51" s="210">
        <f t="shared" si="20"/>
        <v>5.17</v>
      </c>
      <c r="E51" s="211">
        <f t="shared" ref="E51:E54" si="27">+D51-C51</f>
        <v>-49.46</v>
      </c>
      <c r="F51" s="307">
        <f t="shared" ref="F51:F54" si="28">+E51/D51</f>
        <v>-9.5667311411992273</v>
      </c>
      <c r="G51" s="211">
        <f t="shared" si="21"/>
        <v>-1.4998082985462086E-2</v>
      </c>
      <c r="H51" s="211">
        <f t="shared" si="22"/>
        <v>5.0723735821140412E-2</v>
      </c>
      <c r="I51" s="210">
        <f t="shared" ref="I51:I54" si="29">U51</f>
        <v>54.665725652835675</v>
      </c>
      <c r="J51" s="211">
        <f t="shared" si="23"/>
        <v>5.2057256528356781</v>
      </c>
      <c r="K51" s="307">
        <f t="shared" ref="K51:K54" si="30">(J51-I51)/I51</f>
        <v>-0.90477167199982744</v>
      </c>
      <c r="M51" s="211"/>
      <c r="N51">
        <v>496</v>
      </c>
      <c r="O51" s="274" t="s">
        <v>362</v>
      </c>
      <c r="P51" s="302">
        <f>VLOOKUP($N51,INPUT!$AB$9:$AF$161,3,FALSE)</f>
        <v>54.63</v>
      </c>
      <c r="Q51" s="302">
        <f>VLOOKUP($N51,INPUT!$AB$9:$AF$161,4,FALSE)</f>
        <v>5.17</v>
      </c>
      <c r="R51" s="198">
        <f>VLOOKUP($N51,INPUT!$AB$9:$AF$161,5,FALSE)</f>
        <v>7.0999999999999994E-2</v>
      </c>
      <c r="S51" s="196">
        <f>($R51*INPUT!$P$60)*INPUT!$G$63</f>
        <v>-1.4998082985462086E-2</v>
      </c>
      <c r="T51" s="196">
        <f>($R51*INPUT!$P$60)*INPUT!$I$63</f>
        <v>5.0723735821140412E-2</v>
      </c>
      <c r="U51" s="197">
        <f t="shared" si="24"/>
        <v>54.665725652835675</v>
      </c>
      <c r="V51" s="197">
        <f t="shared" si="25"/>
        <v>5.2057256528356781</v>
      </c>
    </row>
    <row r="52" spans="1:22" ht="15.75" thickBot="1" x14ac:dyDescent="0.25">
      <c r="A52" s="199" t="s">
        <v>363</v>
      </c>
      <c r="B52" s="402">
        <f t="shared" si="19"/>
        <v>0.122</v>
      </c>
      <c r="C52" s="210">
        <f t="shared" si="26"/>
        <v>57.64</v>
      </c>
      <c r="D52" s="210">
        <f t="shared" si="20"/>
        <v>7.19</v>
      </c>
      <c r="E52" s="211">
        <f t="shared" si="27"/>
        <v>-50.45</v>
      </c>
      <c r="F52" s="307">
        <f t="shared" si="28"/>
        <v>-7.0166898470097356</v>
      </c>
      <c r="G52" s="211">
        <f t="shared" si="21"/>
        <v>-2.5771353862343308E-2</v>
      </c>
      <c r="H52" s="211">
        <f t="shared" si="22"/>
        <v>8.715909535463566E-2</v>
      </c>
      <c r="I52" s="210">
        <f t="shared" si="29"/>
        <v>57.70138774149229</v>
      </c>
      <c r="J52" s="211">
        <f t="shared" si="23"/>
        <v>7.2513877414922927</v>
      </c>
      <c r="K52" s="307">
        <f t="shared" si="30"/>
        <v>-0.87432905818523465</v>
      </c>
      <c r="M52" s="211"/>
      <c r="N52">
        <v>497</v>
      </c>
      <c r="O52" s="274" t="s">
        <v>363</v>
      </c>
      <c r="P52" s="302">
        <f>VLOOKUP($N52,INPUT!$AB$9:$AF$161,3,FALSE)</f>
        <v>57.64</v>
      </c>
      <c r="Q52" s="302">
        <f>VLOOKUP($N52,INPUT!$AB$9:$AF$161,4,FALSE)</f>
        <v>7.19</v>
      </c>
      <c r="R52" s="198">
        <f>VLOOKUP($N52,INPUT!$AB$9:$AF$161,5,FALSE)</f>
        <v>0.122</v>
      </c>
      <c r="S52" s="196">
        <f>($R52*INPUT!$P$60)*INPUT!$G$63</f>
        <v>-2.5771353862343308E-2</v>
      </c>
      <c r="T52" s="196">
        <f>($R52*INPUT!$P$60)*INPUT!$I$63</f>
        <v>8.715909535463566E-2</v>
      </c>
      <c r="U52" s="197">
        <f t="shared" si="24"/>
        <v>57.70138774149229</v>
      </c>
      <c r="V52" s="197">
        <f t="shared" si="25"/>
        <v>7.2513877414922927</v>
      </c>
    </row>
    <row r="53" spans="1:22" ht="15.75" thickBot="1" x14ac:dyDescent="0.25">
      <c r="A53" s="199" t="s">
        <v>364</v>
      </c>
      <c r="B53" s="402">
        <f t="shared" si="19"/>
        <v>0.19400000000000001</v>
      </c>
      <c r="C53" s="210">
        <f t="shared" si="26"/>
        <v>65.790000000000006</v>
      </c>
      <c r="D53" s="210">
        <f t="shared" si="20"/>
        <v>10.36</v>
      </c>
      <c r="E53" s="211">
        <f t="shared" si="27"/>
        <v>-55.430000000000007</v>
      </c>
      <c r="F53" s="307">
        <f t="shared" si="28"/>
        <v>-5.3503861003861015</v>
      </c>
      <c r="G53" s="211">
        <f t="shared" si="21"/>
        <v>-4.0980677453234436E-2</v>
      </c>
      <c r="H53" s="211">
        <f t="shared" si="22"/>
        <v>0.13859724999015832</v>
      </c>
      <c r="I53" s="210">
        <f t="shared" si="29"/>
        <v>65.887616572536928</v>
      </c>
      <c r="J53" s="211">
        <f t="shared" si="23"/>
        <v>10.457616572536924</v>
      </c>
      <c r="K53" s="307">
        <f t="shared" si="30"/>
        <v>-0.84128100064108513</v>
      </c>
      <c r="M53" s="211"/>
      <c r="N53">
        <v>498</v>
      </c>
      <c r="O53" s="274" t="s">
        <v>364</v>
      </c>
      <c r="P53" s="302">
        <f>VLOOKUP($N53,INPUT!$AB$9:$AF$161,3,FALSE)</f>
        <v>65.790000000000006</v>
      </c>
      <c r="Q53" s="302">
        <f>VLOOKUP($N53,INPUT!$AB$9:$AF$161,4,FALSE)</f>
        <v>10.36</v>
      </c>
      <c r="R53" s="198">
        <f>VLOOKUP($N53,INPUT!$AB$9:$AF$161,5,FALSE)</f>
        <v>0.19400000000000001</v>
      </c>
      <c r="S53" s="196">
        <f>($R53*INPUT!$P$60)*INPUT!$G$63</f>
        <v>-4.0980677453234436E-2</v>
      </c>
      <c r="T53" s="196">
        <f>($R53*INPUT!$P$60)*INPUT!$I$63</f>
        <v>0.13859724999015832</v>
      </c>
      <c r="U53" s="197">
        <f t="shared" si="24"/>
        <v>65.887616572536928</v>
      </c>
      <c r="V53" s="197">
        <f t="shared" si="25"/>
        <v>10.457616572536924</v>
      </c>
    </row>
    <row r="54" spans="1:22" ht="15.75" thickBot="1" x14ac:dyDescent="0.25">
      <c r="A54" s="199" t="s">
        <v>365</v>
      </c>
      <c r="B54" s="402">
        <f t="shared" si="19"/>
        <v>4.3999999999999997E-2</v>
      </c>
      <c r="C54" s="210">
        <f t="shared" si="26"/>
        <v>48.35</v>
      </c>
      <c r="D54" s="210">
        <f t="shared" si="20"/>
        <v>7.25</v>
      </c>
      <c r="E54" s="211">
        <f t="shared" si="27"/>
        <v>-41.1</v>
      </c>
      <c r="F54" s="307">
        <f t="shared" si="28"/>
        <v>-5.6689655172413795</v>
      </c>
      <c r="G54" s="211">
        <f t="shared" si="21"/>
        <v>-9.2945866388779146E-3</v>
      </c>
      <c r="H54" s="211">
        <f t="shared" si="22"/>
        <v>3.1434427832819418E-2</v>
      </c>
      <c r="I54" s="210">
        <f t="shared" si="29"/>
        <v>48.372139841193942</v>
      </c>
      <c r="J54" s="211">
        <f t="shared" si="23"/>
        <v>7.2721398411939422</v>
      </c>
      <c r="K54" s="307">
        <f t="shared" si="30"/>
        <v>-0.84966263917477247</v>
      </c>
      <c r="M54" s="211"/>
      <c r="N54">
        <v>499</v>
      </c>
      <c r="O54" s="274" t="s">
        <v>366</v>
      </c>
      <c r="P54" s="302">
        <f>VLOOKUP($N54,INPUT!$AB$9:$AF$161,3,FALSE)</f>
        <v>48.35</v>
      </c>
      <c r="Q54" s="302">
        <f>VLOOKUP($N54,INPUT!$AB$9:$AF$161,4,FALSE)</f>
        <v>7.25</v>
      </c>
      <c r="R54" s="198">
        <f>VLOOKUP($N54,INPUT!$AB$9:$AF$161,5,FALSE)</f>
        <v>4.3999999999999997E-2</v>
      </c>
      <c r="S54" s="196">
        <f>($R54*INPUT!$P$60)*INPUT!$G$63</f>
        <v>-9.2945866388779146E-3</v>
      </c>
      <c r="T54" s="196">
        <f>($R54*INPUT!$P$60)*INPUT!$I$63</f>
        <v>3.1434427832819418E-2</v>
      </c>
      <c r="U54" s="197">
        <f t="shared" si="24"/>
        <v>48.372139841193942</v>
      </c>
      <c r="V54" s="197">
        <f t="shared" si="25"/>
        <v>7.2721398411939422</v>
      </c>
    </row>
    <row r="55" spans="1:22" ht="15.75" thickBot="1" x14ac:dyDescent="0.25">
      <c r="A55" s="199" t="s">
        <v>455</v>
      </c>
      <c r="B55" s="402">
        <f t="shared" ref="B55:B64" si="31">+R55</f>
        <v>0.04</v>
      </c>
      <c r="C55" s="210" t="s">
        <v>500</v>
      </c>
      <c r="D55" s="210">
        <f t="shared" si="20"/>
        <v>6.75</v>
      </c>
      <c r="E55" s="210" t="s">
        <v>500</v>
      </c>
      <c r="F55" s="304" t="s">
        <v>378</v>
      </c>
      <c r="G55" s="211">
        <f t="shared" ref="G55:G64" si="32">+S55</f>
        <v>-8.4496242171617393E-3</v>
      </c>
      <c r="H55" s="211">
        <f t="shared" ref="H55:H64" si="33">+T55</f>
        <v>2.8576752575290378E-2</v>
      </c>
      <c r="I55" s="210" t="s">
        <v>500</v>
      </c>
      <c r="J55" s="211">
        <f t="shared" ref="J55:J64" si="34">+D55+G55+H55</f>
        <v>6.7701271283581281</v>
      </c>
      <c r="K55" s="308" t="s">
        <v>378</v>
      </c>
      <c r="M55" s="211"/>
      <c r="N55" s="30" t="s">
        <v>434</v>
      </c>
      <c r="O55" s="274" t="s">
        <v>455</v>
      </c>
      <c r="P55" s="302">
        <f>VLOOKUP($N55,INPUT!$AB$9:$AF$161,3,FALSE)</f>
        <v>0</v>
      </c>
      <c r="Q55" s="302">
        <f>VLOOKUP($N55,INPUT!$AB$9:$AF$161,4,FALSE)</f>
        <v>6.75</v>
      </c>
      <c r="R55" s="198">
        <f>VLOOKUP($N55,INPUT!$AB$9:$AF$161,5,FALSE)</f>
        <v>0.04</v>
      </c>
      <c r="S55" s="196">
        <f>($R55*INPUT!$P$60)*INPUT!$G$63</f>
        <v>-8.4496242171617393E-3</v>
      </c>
      <c r="T55" s="196">
        <f>($R55*INPUT!$P$60)*INPUT!$I$63</f>
        <v>2.8576752575290378E-2</v>
      </c>
      <c r="U55" s="197">
        <f t="shared" si="24"/>
        <v>2.0127128358128639E-2</v>
      </c>
      <c r="V55" s="197">
        <f t="shared" si="25"/>
        <v>6.7701271283581281</v>
      </c>
    </row>
    <row r="56" spans="1:22" ht="15.75" thickBot="1" x14ac:dyDescent="0.25">
      <c r="A56" s="199" t="s">
        <v>456</v>
      </c>
      <c r="B56" s="402">
        <f t="shared" si="31"/>
        <v>5.7000000000000002E-2</v>
      </c>
      <c r="C56" s="210" t="s">
        <v>500</v>
      </c>
      <c r="D56" s="210">
        <f t="shared" si="20"/>
        <v>6.74</v>
      </c>
      <c r="E56" s="210" t="s">
        <v>500</v>
      </c>
      <c r="F56" s="304" t="s">
        <v>378</v>
      </c>
      <c r="G56" s="211">
        <f t="shared" si="32"/>
        <v>-1.2040714509455479E-2</v>
      </c>
      <c r="H56" s="211">
        <f t="shared" si="33"/>
        <v>4.0721872419788786E-2</v>
      </c>
      <c r="I56" s="210" t="s">
        <v>500</v>
      </c>
      <c r="J56" s="211">
        <f t="shared" si="34"/>
        <v>6.7686811579103328</v>
      </c>
      <c r="K56" s="308" t="s">
        <v>378</v>
      </c>
      <c r="M56" s="211"/>
      <c r="N56" s="30" t="s">
        <v>435</v>
      </c>
      <c r="O56" s="274" t="s">
        <v>456</v>
      </c>
      <c r="P56" s="302">
        <f>VLOOKUP($N56,INPUT!$AB$9:$AF$161,3,FALSE)</f>
        <v>0</v>
      </c>
      <c r="Q56" s="302">
        <f>VLOOKUP($N56,INPUT!$AB$9:$AF$161,4,FALSE)</f>
        <v>6.74</v>
      </c>
      <c r="R56" s="198">
        <f>VLOOKUP($N56,INPUT!$AB$9:$AF$161,5,FALSE)</f>
        <v>5.7000000000000002E-2</v>
      </c>
      <c r="S56" s="196">
        <f>($R56*INPUT!$P$60)*INPUT!$G$63</f>
        <v>-1.2040714509455479E-2</v>
      </c>
      <c r="T56" s="196">
        <f>($R56*INPUT!$P$60)*INPUT!$I$63</f>
        <v>4.0721872419788786E-2</v>
      </c>
      <c r="U56" s="197">
        <f t="shared" si="24"/>
        <v>2.8681157910333308E-2</v>
      </c>
      <c r="V56" s="197">
        <f t="shared" si="25"/>
        <v>6.7686811579103328</v>
      </c>
    </row>
    <row r="57" spans="1:22" ht="15.75" thickBot="1" x14ac:dyDescent="0.25">
      <c r="A57" s="199" t="s">
        <v>457</v>
      </c>
      <c r="B57" s="402">
        <f t="shared" si="31"/>
        <v>8.6999999999999994E-2</v>
      </c>
      <c r="C57" s="210" t="s">
        <v>500</v>
      </c>
      <c r="D57" s="210">
        <f t="shared" si="20"/>
        <v>7.85</v>
      </c>
      <c r="E57" s="210" t="s">
        <v>500</v>
      </c>
      <c r="F57" s="304" t="s">
        <v>378</v>
      </c>
      <c r="G57" s="211">
        <f t="shared" si="32"/>
        <v>-1.8377932672326784E-2</v>
      </c>
      <c r="H57" s="211">
        <f t="shared" si="33"/>
        <v>6.2154436851256566E-2</v>
      </c>
      <c r="I57" s="210" t="s">
        <v>500</v>
      </c>
      <c r="J57" s="211">
        <f t="shared" si="34"/>
        <v>7.8937765041789296</v>
      </c>
      <c r="K57" s="308" t="s">
        <v>378</v>
      </c>
      <c r="M57" s="211"/>
      <c r="N57" s="30" t="s">
        <v>436</v>
      </c>
      <c r="O57" s="274" t="s">
        <v>457</v>
      </c>
      <c r="P57" s="302">
        <f>VLOOKUP($N57,INPUT!$AB$9:$AF$161,3,FALSE)</f>
        <v>0</v>
      </c>
      <c r="Q57" s="302">
        <f>VLOOKUP($N57,INPUT!$AB$9:$AF$161,4,FALSE)</f>
        <v>7.85</v>
      </c>
      <c r="R57" s="198">
        <f>VLOOKUP($N57,INPUT!$AB$9:$AF$161,5,FALSE)</f>
        <v>8.6999999999999994E-2</v>
      </c>
      <c r="S57" s="196">
        <f>($R57*INPUT!$P$60)*INPUT!$G$63</f>
        <v>-1.8377932672326784E-2</v>
      </c>
      <c r="T57" s="196">
        <f>($R57*INPUT!$P$60)*INPUT!$I$63</f>
        <v>6.2154436851256566E-2</v>
      </c>
      <c r="U57" s="197">
        <f t="shared" si="24"/>
        <v>4.3776504178929782E-2</v>
      </c>
      <c r="V57" s="197">
        <f t="shared" si="25"/>
        <v>7.8937765041789296</v>
      </c>
    </row>
    <row r="58" spans="1:22" ht="15.75" thickBot="1" x14ac:dyDescent="0.25">
      <c r="A58" s="199" t="s">
        <v>458</v>
      </c>
      <c r="B58" s="402">
        <f t="shared" si="31"/>
        <v>0.14299999999999999</v>
      </c>
      <c r="C58" s="210" t="s">
        <v>500</v>
      </c>
      <c r="D58" s="210">
        <f t="shared" si="20"/>
        <v>9.56</v>
      </c>
      <c r="E58" s="210" t="s">
        <v>500</v>
      </c>
      <c r="F58" s="304" t="s">
        <v>378</v>
      </c>
      <c r="G58" s="211">
        <f t="shared" si="32"/>
        <v>-3.0207406576353218E-2</v>
      </c>
      <c r="H58" s="211">
        <f t="shared" si="33"/>
        <v>0.10216189045666309</v>
      </c>
      <c r="I58" s="210" t="s">
        <v>500</v>
      </c>
      <c r="J58" s="211">
        <f t="shared" si="34"/>
        <v>9.6319544838803104</v>
      </c>
      <c r="K58" s="308" t="s">
        <v>378</v>
      </c>
      <c r="M58" s="211"/>
      <c r="N58" s="30" t="s">
        <v>437</v>
      </c>
      <c r="O58" s="274" t="s">
        <v>458</v>
      </c>
      <c r="P58" s="302">
        <f>VLOOKUP($N58,INPUT!$AB$9:$AF$161,3,FALSE)</f>
        <v>0</v>
      </c>
      <c r="Q58" s="302">
        <f>VLOOKUP($N58,INPUT!$AB$9:$AF$161,4,FALSE)</f>
        <v>9.56</v>
      </c>
      <c r="R58" s="198">
        <f>VLOOKUP($N58,INPUT!$AB$9:$AF$161,5,FALSE)</f>
        <v>0.14299999999999999</v>
      </c>
      <c r="S58" s="196">
        <f>($R58*INPUT!$P$60)*INPUT!$G$63</f>
        <v>-3.0207406576353218E-2</v>
      </c>
      <c r="T58" s="196">
        <f>($R58*INPUT!$P$60)*INPUT!$I$63</f>
        <v>0.10216189045666309</v>
      </c>
      <c r="U58" s="197">
        <f t="shared" si="24"/>
        <v>7.1954483880309866E-2</v>
      </c>
      <c r="V58" s="197">
        <f t="shared" si="25"/>
        <v>9.6319544838803104</v>
      </c>
    </row>
    <row r="59" spans="1:22" ht="15.75" thickBot="1" x14ac:dyDescent="0.25">
      <c r="A59" s="199" t="s">
        <v>459</v>
      </c>
      <c r="B59" s="402">
        <f t="shared" si="31"/>
        <v>0.22</v>
      </c>
      <c r="C59" s="210" t="s">
        <v>500</v>
      </c>
      <c r="D59" s="210">
        <f t="shared" si="20"/>
        <v>13.86</v>
      </c>
      <c r="E59" s="210" t="s">
        <v>500</v>
      </c>
      <c r="F59" s="304" t="s">
        <v>378</v>
      </c>
      <c r="G59" s="211">
        <f t="shared" si="32"/>
        <v>-4.6472933194389568E-2</v>
      </c>
      <c r="H59" s="211">
        <f t="shared" si="33"/>
        <v>0.15717213916409706</v>
      </c>
      <c r="I59" s="210" t="s">
        <v>500</v>
      </c>
      <c r="J59" s="211">
        <f t="shared" si="34"/>
        <v>13.970699205969707</v>
      </c>
      <c r="K59" s="308" t="s">
        <v>378</v>
      </c>
      <c r="M59" s="211"/>
      <c r="N59" s="30" t="s">
        <v>438</v>
      </c>
      <c r="O59" s="274" t="s">
        <v>459</v>
      </c>
      <c r="P59" s="302">
        <f>VLOOKUP($N59,INPUT!$AB$9:$AF$161,3,FALSE)</f>
        <v>0</v>
      </c>
      <c r="Q59" s="302">
        <f>VLOOKUP($N59,INPUT!$AB$9:$AF$161,4,FALSE)</f>
        <v>13.86</v>
      </c>
      <c r="R59" s="198">
        <f>VLOOKUP($N59,INPUT!$AB$9:$AF$161,5,FALSE)</f>
        <v>0.22</v>
      </c>
      <c r="S59" s="196">
        <f>($R59*INPUT!$P$60)*INPUT!$G$63</f>
        <v>-4.6472933194389568E-2</v>
      </c>
      <c r="T59" s="196">
        <f>($R59*INPUT!$P$60)*INPUT!$I$63</f>
        <v>0.15717213916409706</v>
      </c>
      <c r="U59" s="197">
        <f t="shared" si="24"/>
        <v>0.11069920596970749</v>
      </c>
      <c r="V59" s="197">
        <f t="shared" si="25"/>
        <v>13.970699205969707</v>
      </c>
    </row>
    <row r="60" spans="1:22" ht="15.75" thickBot="1" x14ac:dyDescent="0.25">
      <c r="A60" s="199" t="s">
        <v>460</v>
      </c>
      <c r="B60" s="402">
        <f t="shared" si="31"/>
        <v>0.38</v>
      </c>
      <c r="C60" s="210" t="s">
        <v>500</v>
      </c>
      <c r="D60" s="210">
        <f t="shared" si="20"/>
        <v>20.91</v>
      </c>
      <c r="E60" s="210" t="s">
        <v>500</v>
      </c>
      <c r="F60" s="304" t="s">
        <v>378</v>
      </c>
      <c r="G60" s="211">
        <f t="shared" si="32"/>
        <v>-8.0271430063036525E-2</v>
      </c>
      <c r="H60" s="211">
        <f t="shared" si="33"/>
        <v>0.27147914946525858</v>
      </c>
      <c r="I60" s="210" t="s">
        <v>500</v>
      </c>
      <c r="J60" s="211">
        <f t="shared" si="34"/>
        <v>21.101207719402222</v>
      </c>
      <c r="K60" s="308" t="s">
        <v>378</v>
      </c>
      <c r="M60" s="211"/>
      <c r="N60" s="30" t="s">
        <v>439</v>
      </c>
      <c r="O60" s="274" t="s">
        <v>460</v>
      </c>
      <c r="P60" s="302">
        <f>VLOOKUP($N60,INPUT!$AB$9:$AF$161,3,FALSE)</f>
        <v>0</v>
      </c>
      <c r="Q60" s="302">
        <f>VLOOKUP($N60,INPUT!$AB$9:$AF$161,4,FALSE)</f>
        <v>20.91</v>
      </c>
      <c r="R60" s="198">
        <f>VLOOKUP($N60,INPUT!$AB$9:$AF$161,5,FALSE)</f>
        <v>0.38</v>
      </c>
      <c r="S60" s="196">
        <f>($R60*INPUT!$P$60)*INPUT!$G$63</f>
        <v>-8.0271430063036525E-2</v>
      </c>
      <c r="T60" s="196">
        <f>($R60*INPUT!$P$60)*INPUT!$I$63</f>
        <v>0.27147914946525858</v>
      </c>
      <c r="U60" s="197">
        <f t="shared" si="24"/>
        <v>0.19120771940222206</v>
      </c>
      <c r="V60" s="197">
        <f t="shared" si="25"/>
        <v>21.101207719402222</v>
      </c>
    </row>
    <row r="61" spans="1:22" ht="15.75" thickBot="1" x14ac:dyDescent="0.25">
      <c r="A61" s="199" t="s">
        <v>461</v>
      </c>
      <c r="B61" s="402">
        <f t="shared" si="31"/>
        <v>0.03</v>
      </c>
      <c r="C61" s="210" t="s">
        <v>500</v>
      </c>
      <c r="D61" s="210">
        <f t="shared" si="20"/>
        <v>7.86</v>
      </c>
      <c r="E61" s="210" t="s">
        <v>500</v>
      </c>
      <c r="F61" s="304" t="s">
        <v>378</v>
      </c>
      <c r="G61" s="211">
        <f t="shared" si="32"/>
        <v>-6.3372181628713045E-3</v>
      </c>
      <c r="H61" s="211">
        <f t="shared" si="33"/>
        <v>2.1432564431467783E-2</v>
      </c>
      <c r="I61" s="210" t="s">
        <v>500</v>
      </c>
      <c r="J61" s="211">
        <f t="shared" si="34"/>
        <v>7.8750953462685969</v>
      </c>
      <c r="K61" s="308" t="s">
        <v>378</v>
      </c>
      <c r="M61" s="211"/>
      <c r="N61" s="30" t="s">
        <v>440</v>
      </c>
      <c r="O61" s="274" t="s">
        <v>461</v>
      </c>
      <c r="P61" s="302">
        <f>VLOOKUP($N61,INPUT!$AB$9:$AF$161,3,FALSE)</f>
        <v>0</v>
      </c>
      <c r="Q61" s="302">
        <f>VLOOKUP($N61,INPUT!$AB$9:$AF$161,4,FALSE)</f>
        <v>7.86</v>
      </c>
      <c r="R61" s="198">
        <f>VLOOKUP($N61,INPUT!$AB$9:$AF$161,5,FALSE)</f>
        <v>0.03</v>
      </c>
      <c r="S61" s="196">
        <f>($R61*INPUT!$P$60)*INPUT!$G$63</f>
        <v>-6.3372181628713045E-3</v>
      </c>
      <c r="T61" s="196">
        <f>($R61*INPUT!$P$60)*INPUT!$I$63</f>
        <v>2.1432564431467783E-2</v>
      </c>
      <c r="U61" s="197">
        <f t="shared" si="24"/>
        <v>1.5095346268596477E-2</v>
      </c>
      <c r="V61" s="197">
        <f t="shared" si="25"/>
        <v>7.8750953462685969</v>
      </c>
    </row>
    <row r="62" spans="1:22" ht="15.75" thickBot="1" x14ac:dyDescent="0.25">
      <c r="A62" s="199" t="s">
        <v>462</v>
      </c>
      <c r="B62" s="402">
        <f t="shared" si="31"/>
        <v>9.6000000000000002E-2</v>
      </c>
      <c r="C62" s="210" t="s">
        <v>500</v>
      </c>
      <c r="D62" s="210">
        <f t="shared" si="20"/>
        <v>9.66</v>
      </c>
      <c r="E62" s="210" t="s">
        <v>500</v>
      </c>
      <c r="F62" s="304" t="s">
        <v>378</v>
      </c>
      <c r="G62" s="211">
        <f t="shared" si="32"/>
        <v>-2.0279098121188176E-2</v>
      </c>
      <c r="H62" s="211">
        <f t="shared" si="33"/>
        <v>6.8584206180696911E-2</v>
      </c>
      <c r="I62" s="210" t="s">
        <v>500</v>
      </c>
      <c r="J62" s="211">
        <f t="shared" si="34"/>
        <v>9.7083051080595091</v>
      </c>
      <c r="K62" s="308" t="s">
        <v>378</v>
      </c>
      <c r="M62" s="211"/>
      <c r="N62" s="30" t="s">
        <v>441</v>
      </c>
      <c r="O62" s="274" t="s">
        <v>462</v>
      </c>
      <c r="P62" s="302">
        <f>VLOOKUP($N62,INPUT!$AB$9:$AF$161,3,FALSE)</f>
        <v>0</v>
      </c>
      <c r="Q62" s="302">
        <f>VLOOKUP($N62,INPUT!$AB$9:$AF$161,4,FALSE)</f>
        <v>9.66</v>
      </c>
      <c r="R62" s="198">
        <f>VLOOKUP($N62,INPUT!$AB$9:$AF$161,5,FALSE)</f>
        <v>9.6000000000000002E-2</v>
      </c>
      <c r="S62" s="196">
        <f>($R62*INPUT!$P$60)*INPUT!$G$63</f>
        <v>-2.0279098121188176E-2</v>
      </c>
      <c r="T62" s="196">
        <f>($R62*INPUT!$P$60)*INPUT!$I$63</f>
        <v>6.8584206180696911E-2</v>
      </c>
      <c r="U62" s="197">
        <f t="shared" si="24"/>
        <v>4.8305108059508731E-2</v>
      </c>
      <c r="V62" s="197">
        <f t="shared" si="25"/>
        <v>9.7083051080595091</v>
      </c>
    </row>
    <row r="63" spans="1:22" ht="15.75" thickBot="1" x14ac:dyDescent="0.25">
      <c r="A63" s="199" t="s">
        <v>463</v>
      </c>
      <c r="B63" s="402">
        <f t="shared" si="31"/>
        <v>0.17499999999999999</v>
      </c>
      <c r="C63" s="210" t="s">
        <v>500</v>
      </c>
      <c r="D63" s="210">
        <f t="shared" si="20"/>
        <v>12.01</v>
      </c>
      <c r="E63" s="210" t="s">
        <v>500</v>
      </c>
      <c r="F63" s="304" t="s">
        <v>378</v>
      </c>
      <c r="G63" s="211">
        <f t="shared" si="32"/>
        <v>-3.6967105950082603E-2</v>
      </c>
      <c r="H63" s="211">
        <f t="shared" si="33"/>
        <v>0.1250232925168954</v>
      </c>
      <c r="I63" s="210" t="s">
        <v>500</v>
      </c>
      <c r="J63" s="211">
        <f t="shared" si="34"/>
        <v>12.098056186566811</v>
      </c>
      <c r="K63" s="308" t="s">
        <v>378</v>
      </c>
      <c r="M63" s="211"/>
      <c r="N63" s="30" t="s">
        <v>442</v>
      </c>
      <c r="O63" s="274" t="s">
        <v>463</v>
      </c>
      <c r="P63" s="302">
        <f>VLOOKUP($N63,INPUT!$AB$9:$AF$161,3,FALSE)</f>
        <v>0</v>
      </c>
      <c r="Q63" s="302">
        <f>VLOOKUP($N63,INPUT!$AB$9:$AF$161,4,FALSE)</f>
        <v>12.01</v>
      </c>
      <c r="R63" s="198">
        <f>VLOOKUP($N63,INPUT!$AB$9:$AF$161,5,FALSE)</f>
        <v>0.17499999999999999</v>
      </c>
      <c r="S63" s="196">
        <f>($R63*INPUT!$P$60)*INPUT!$G$63</f>
        <v>-3.6967105950082603E-2</v>
      </c>
      <c r="T63" s="196">
        <f>($R63*INPUT!$P$60)*INPUT!$I$63</f>
        <v>0.1250232925168954</v>
      </c>
      <c r="U63" s="197">
        <f t="shared" si="24"/>
        <v>8.80561865668128E-2</v>
      </c>
      <c r="V63" s="197">
        <f t="shared" si="25"/>
        <v>12.098056186566811</v>
      </c>
    </row>
    <row r="64" spans="1:22" ht="15.75" thickBot="1" x14ac:dyDescent="0.25">
      <c r="A64" s="199" t="s">
        <v>464</v>
      </c>
      <c r="B64" s="402">
        <f t="shared" si="31"/>
        <v>0.29699999999999999</v>
      </c>
      <c r="C64" s="210" t="s">
        <v>500</v>
      </c>
      <c r="D64" s="210">
        <f t="shared" si="20"/>
        <v>18.579999999999998</v>
      </c>
      <c r="E64" s="210" t="s">
        <v>500</v>
      </c>
      <c r="F64" s="304" t="s">
        <v>378</v>
      </c>
      <c r="G64" s="211">
        <f t="shared" si="32"/>
        <v>-6.2738459812425915E-2</v>
      </c>
      <c r="H64" s="211">
        <f t="shared" si="33"/>
        <v>0.21218238787153104</v>
      </c>
      <c r="I64" s="210" t="s">
        <v>500</v>
      </c>
      <c r="J64" s="211">
        <f t="shared" si="34"/>
        <v>18.729443928059105</v>
      </c>
      <c r="K64" s="308" t="s">
        <v>378</v>
      </c>
      <c r="M64" s="211"/>
      <c r="N64" s="30" t="s">
        <v>443</v>
      </c>
      <c r="O64" s="274" t="s">
        <v>464</v>
      </c>
      <c r="P64" s="302">
        <f>VLOOKUP($N64,INPUT!$AB$9:$AF$161,3,FALSE)</f>
        <v>0</v>
      </c>
      <c r="Q64" s="302">
        <f>VLOOKUP($N64,INPUT!$AB$9:$AF$161,4,FALSE)</f>
        <v>18.579999999999998</v>
      </c>
      <c r="R64" s="198">
        <f>VLOOKUP($N64,INPUT!$AB$9:$AF$161,5,FALSE)</f>
        <v>0.29699999999999999</v>
      </c>
      <c r="S64" s="196">
        <f>($R64*INPUT!$P$60)*INPUT!$G$63</f>
        <v>-6.2738459812425915E-2</v>
      </c>
      <c r="T64" s="196">
        <f>($R64*INPUT!$P$60)*INPUT!$I$63</f>
        <v>0.21218238787153104</v>
      </c>
      <c r="U64" s="197">
        <f t="shared" si="24"/>
        <v>0.14944392805910511</v>
      </c>
      <c r="V64" s="197">
        <f t="shared" si="25"/>
        <v>18.729443928059105</v>
      </c>
    </row>
    <row r="69" spans="1:22" x14ac:dyDescent="0.2">
      <c r="A69" s="199"/>
      <c r="B69" s="189"/>
      <c r="C69" s="210"/>
      <c r="D69" s="210"/>
      <c r="E69" s="211"/>
      <c r="F69" s="195"/>
      <c r="G69" s="211"/>
      <c r="H69" s="211"/>
      <c r="I69" s="211"/>
      <c r="J69" s="211"/>
      <c r="K69" s="195"/>
      <c r="O69" s="199"/>
      <c r="P69" s="203"/>
      <c r="Q69" s="203"/>
      <c r="R69" s="198"/>
      <c r="S69" s="196"/>
      <c r="T69" s="196"/>
      <c r="U69" s="197"/>
      <c r="V69" s="197"/>
    </row>
    <row r="70" spans="1:22" x14ac:dyDescent="0.2">
      <c r="A70" s="175" t="s">
        <v>314</v>
      </c>
      <c r="B70" s="189"/>
      <c r="C70" s="210"/>
      <c r="D70" s="210"/>
      <c r="E70" s="211"/>
      <c r="F70" s="195"/>
      <c r="G70" s="211"/>
      <c r="H70" s="211"/>
      <c r="I70" s="211"/>
      <c r="J70" s="211"/>
      <c r="K70" s="195"/>
      <c r="O70" s="199"/>
      <c r="P70" s="203"/>
      <c r="Q70" s="203"/>
      <c r="R70" s="198"/>
      <c r="S70" s="196"/>
      <c r="T70" s="196"/>
      <c r="U70" s="197"/>
      <c r="V70" s="197"/>
    </row>
    <row r="71" spans="1:22" x14ac:dyDescent="0.2">
      <c r="A71" s="172" t="s">
        <v>328</v>
      </c>
      <c r="B71" s="189"/>
      <c r="C71" s="210"/>
      <c r="D71" s="210"/>
      <c r="E71" s="211"/>
      <c r="F71" s="195"/>
      <c r="G71" s="211"/>
      <c r="H71" s="211"/>
      <c r="I71" s="211"/>
      <c r="J71" s="211"/>
      <c r="K71" s="195"/>
      <c r="O71" s="199"/>
      <c r="P71" s="203"/>
      <c r="Q71" s="203"/>
      <c r="R71" s="198"/>
      <c r="S71" s="196"/>
      <c r="T71" s="196"/>
      <c r="U71" s="197"/>
      <c r="V71" s="197"/>
    </row>
    <row r="72" spans="1:22" x14ac:dyDescent="0.2">
      <c r="A72" s="172" t="str">
        <f>+'Rate Case Constants'!$C$26</f>
        <v>Calculations may vary from other schedules due to rounding</v>
      </c>
      <c r="B72" s="189"/>
      <c r="C72" s="210"/>
      <c r="D72" s="210"/>
      <c r="E72" s="211"/>
      <c r="F72" s="195"/>
      <c r="G72" s="211"/>
      <c r="H72" s="211"/>
      <c r="I72" s="211"/>
      <c r="J72" s="211"/>
      <c r="K72" s="195"/>
      <c r="O72" s="199"/>
      <c r="P72" s="203"/>
      <c r="Q72" s="203"/>
      <c r="R72" s="198"/>
      <c r="S72" s="196"/>
      <c r="T72" s="196"/>
      <c r="U72" s="197"/>
      <c r="V72" s="197"/>
    </row>
    <row r="73" spans="1:22" x14ac:dyDescent="0.2">
      <c r="A73" s="442" t="str">
        <f>+A1</f>
        <v>LOUISVILLE GAS AND ELECTRIC COMPANY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N73" s="88" t="s">
        <v>138</v>
      </c>
      <c r="O73" s="201"/>
      <c r="P73" s="203"/>
      <c r="Q73" s="203"/>
      <c r="R73" s="198"/>
      <c r="S73" s="196"/>
      <c r="T73" s="196"/>
      <c r="U73" s="197"/>
      <c r="V73" s="197"/>
    </row>
    <row r="74" spans="1:22" x14ac:dyDescent="0.2">
      <c r="A74" s="442" t="str">
        <f>+A2</f>
        <v>CASE NO. 2018-00295</v>
      </c>
      <c r="B74" s="442"/>
      <c r="C74" s="442"/>
      <c r="D74" s="442"/>
      <c r="E74" s="442"/>
      <c r="F74" s="442"/>
      <c r="G74" s="442"/>
      <c r="H74" s="442"/>
      <c r="I74" s="442"/>
      <c r="J74" s="442"/>
      <c r="K74" s="442"/>
      <c r="O74" s="201"/>
      <c r="P74" s="203"/>
      <c r="Q74" s="203"/>
      <c r="R74" s="198"/>
      <c r="S74" s="196"/>
      <c r="T74" s="196"/>
      <c r="U74" s="197"/>
      <c r="V74" s="197"/>
    </row>
    <row r="75" spans="1:22" x14ac:dyDescent="0.2">
      <c r="A75" s="443" t="str">
        <f>+A3</f>
        <v>Typical Bill Comparison under Present &amp; Proposed Rates</v>
      </c>
      <c r="B75" s="443"/>
      <c r="C75" s="443"/>
      <c r="D75" s="443"/>
      <c r="E75" s="443"/>
      <c r="F75" s="443"/>
      <c r="G75" s="443"/>
      <c r="H75" s="443"/>
      <c r="I75" s="443"/>
      <c r="J75" s="443"/>
      <c r="K75" s="443"/>
      <c r="O75" s="201"/>
      <c r="P75" s="203"/>
      <c r="Q75" s="203"/>
      <c r="R75" s="198"/>
      <c r="S75" s="196"/>
      <c r="T75" s="196"/>
      <c r="U75" s="197"/>
      <c r="V75" s="197"/>
    </row>
    <row r="76" spans="1:22" x14ac:dyDescent="0.2">
      <c r="A76" s="442" t="str">
        <f>+A4</f>
        <v>FORECAST PERIOD FOR THE 12 MONTHS ENDED APRIL 30, 2020</v>
      </c>
      <c r="B76" s="442"/>
      <c r="C76" s="442"/>
      <c r="D76" s="442"/>
      <c r="E76" s="442"/>
      <c r="F76" s="442"/>
      <c r="G76" s="442"/>
      <c r="H76" s="442"/>
      <c r="I76" s="442"/>
      <c r="J76" s="442"/>
      <c r="K76" s="442"/>
      <c r="O76" s="201"/>
      <c r="P76" s="203"/>
      <c r="Q76" s="203"/>
      <c r="R76" s="198"/>
      <c r="S76" s="196"/>
      <c r="T76" s="196"/>
      <c r="U76" s="197"/>
      <c r="V76" s="197"/>
    </row>
    <row r="77" spans="1:22" x14ac:dyDescent="0.2">
      <c r="A77" s="287"/>
      <c r="B77" s="287"/>
      <c r="C77" s="288"/>
      <c r="D77" s="289"/>
      <c r="E77" s="289"/>
      <c r="F77" s="290"/>
      <c r="G77" s="289"/>
      <c r="H77" s="289"/>
      <c r="I77" s="289"/>
      <c r="J77" s="289"/>
      <c r="K77" s="291"/>
      <c r="O77" s="201"/>
      <c r="P77" s="203"/>
      <c r="Q77" s="203"/>
      <c r="R77" s="198"/>
      <c r="S77" s="196"/>
      <c r="T77" s="196"/>
      <c r="U77" s="197"/>
      <c r="V77" s="197"/>
    </row>
    <row r="78" spans="1:22" x14ac:dyDescent="0.2">
      <c r="A78" s="292" t="str">
        <f>+A37</f>
        <v>DATA: ____BASE PERIOD__X___FORECASTED PERIOD</v>
      </c>
      <c r="B78" s="287"/>
      <c r="C78" s="288"/>
      <c r="D78" s="289"/>
      <c r="E78" s="289"/>
      <c r="F78" s="290"/>
      <c r="G78" s="289"/>
      <c r="H78" s="289"/>
      <c r="I78" s="289"/>
      <c r="J78" s="289"/>
      <c r="K78" s="293" t="str">
        <f>+K37</f>
        <v>SCHEDULE N</v>
      </c>
      <c r="O78" s="201"/>
      <c r="P78" s="203"/>
      <c r="Q78" s="203"/>
      <c r="R78" s="198"/>
      <c r="S78" s="196"/>
      <c r="T78" s="196"/>
      <c r="U78" s="197"/>
      <c r="V78" s="197"/>
    </row>
    <row r="79" spans="1:22" x14ac:dyDescent="0.2">
      <c r="A79" s="292" t="str">
        <f>+A38</f>
        <v>TYPE OF FILING: __X__ ORIGINAL  _____ UPDATED  _____ REVISED</v>
      </c>
      <c r="B79" s="287"/>
      <c r="C79" s="288"/>
      <c r="D79" s="289"/>
      <c r="E79" s="289"/>
      <c r="F79" s="290"/>
      <c r="G79" s="289"/>
      <c r="H79" s="289"/>
      <c r="I79" s="289"/>
      <c r="J79" s="289"/>
      <c r="K79" s="293" t="str">
        <f>+'Rate Case Constants'!L23</f>
        <v>PAGE 16 of 26</v>
      </c>
      <c r="O79" s="201"/>
      <c r="P79" s="203"/>
      <c r="Q79" s="203"/>
      <c r="R79" s="198"/>
      <c r="S79" s="196"/>
      <c r="T79" s="196"/>
      <c r="U79" s="197"/>
      <c r="V79" s="197"/>
    </row>
    <row r="80" spans="1:22" x14ac:dyDescent="0.2">
      <c r="A80" s="292" t="str">
        <f>+A39</f>
        <v>WORKPAPER REFERENCE NO(S):________</v>
      </c>
      <c r="B80" s="287"/>
      <c r="C80" s="288"/>
      <c r="D80" s="289"/>
      <c r="E80" s="289"/>
      <c r="F80" s="290"/>
      <c r="G80" s="289"/>
      <c r="H80" s="289"/>
      <c r="I80" s="289"/>
      <c r="J80" s="289"/>
      <c r="K80" s="293" t="str">
        <f>+K39</f>
        <v>WITNESS:   R. M. CONROY</v>
      </c>
      <c r="O80" s="201"/>
      <c r="P80" s="203"/>
      <c r="Q80" s="203"/>
      <c r="R80" s="198"/>
      <c r="S80" s="196"/>
      <c r="T80" s="196"/>
      <c r="U80" s="197"/>
      <c r="V80" s="197"/>
    </row>
    <row r="81" spans="1:22" x14ac:dyDescent="0.2">
      <c r="A81" s="190"/>
      <c r="B81" s="190"/>
      <c r="C81" s="272"/>
      <c r="D81" s="290"/>
      <c r="E81" s="290"/>
      <c r="F81" s="290"/>
      <c r="G81" s="291"/>
      <c r="H81" s="294"/>
      <c r="I81" s="294"/>
      <c r="J81" s="294"/>
      <c r="K81" s="293"/>
      <c r="O81" s="201"/>
      <c r="P81" s="203"/>
      <c r="Q81" s="203"/>
      <c r="R81" s="198"/>
      <c r="S81" s="196"/>
      <c r="T81" s="196"/>
      <c r="U81" s="197"/>
      <c r="V81" s="197"/>
    </row>
    <row r="82" spans="1:22" x14ac:dyDescent="0.2">
      <c r="A82" s="85" t="s">
        <v>335</v>
      </c>
      <c r="B82" s="3" t="s">
        <v>304</v>
      </c>
      <c r="C82" s="26" t="s">
        <v>305</v>
      </c>
      <c r="D82" s="26" t="s">
        <v>306</v>
      </c>
      <c r="E82" s="3" t="s">
        <v>307</v>
      </c>
      <c r="F82" s="3" t="s">
        <v>308</v>
      </c>
      <c r="G82" s="26" t="s">
        <v>309</v>
      </c>
      <c r="H82" s="3" t="s">
        <v>310</v>
      </c>
      <c r="I82" s="3" t="s">
        <v>311</v>
      </c>
      <c r="J82" s="3" t="s">
        <v>312</v>
      </c>
      <c r="K82" s="3" t="s">
        <v>313</v>
      </c>
      <c r="O82" s="201"/>
      <c r="P82" s="203"/>
      <c r="Q82" s="203"/>
      <c r="R82" s="198"/>
      <c r="S82" s="196"/>
      <c r="T82" s="196"/>
      <c r="U82" s="197"/>
      <c r="V82" s="197"/>
    </row>
    <row r="83" spans="1:22" x14ac:dyDescent="0.2">
      <c r="A83" s="199"/>
      <c r="B83" s="41"/>
      <c r="C83" s="231" t="s">
        <v>339</v>
      </c>
      <c r="D83" s="231" t="s">
        <v>339</v>
      </c>
      <c r="E83"/>
      <c r="F83"/>
      <c r="G83" s="30"/>
      <c r="H83" s="30"/>
      <c r="I83" s="3" t="s">
        <v>5</v>
      </c>
      <c r="J83" s="3" t="s">
        <v>5</v>
      </c>
      <c r="K83"/>
      <c r="O83" s="201"/>
      <c r="P83" s="203"/>
      <c r="Q83" s="203"/>
      <c r="R83" s="198"/>
      <c r="S83" s="196"/>
      <c r="T83" s="196"/>
      <c r="U83" s="197"/>
      <c r="V83" s="197"/>
    </row>
    <row r="84" spans="1:22" x14ac:dyDescent="0.2">
      <c r="A84" s="199"/>
      <c r="B84" s="3" t="s">
        <v>327</v>
      </c>
      <c r="C84" s="3" t="s">
        <v>1</v>
      </c>
      <c r="D84" s="3" t="s">
        <v>73</v>
      </c>
      <c r="E84" s="3"/>
      <c r="F84" s="3"/>
      <c r="G84" s="440" t="s">
        <v>126</v>
      </c>
      <c r="H84" s="440"/>
      <c r="I84" s="3" t="s">
        <v>1</v>
      </c>
      <c r="J84" s="3" t="s">
        <v>73</v>
      </c>
      <c r="K84" s="3"/>
      <c r="O84" s="201"/>
      <c r="P84" s="203"/>
      <c r="Q84" s="203"/>
      <c r="R84" s="198"/>
      <c r="S84" s="196"/>
      <c r="T84" s="196"/>
      <c r="U84" s="197"/>
      <c r="V84" s="197"/>
    </row>
    <row r="85" spans="1:22" x14ac:dyDescent="0.2">
      <c r="A85" s="199"/>
      <c r="B85" s="3" t="s">
        <v>20</v>
      </c>
      <c r="C85" s="3" t="s">
        <v>4</v>
      </c>
      <c r="D85" s="3" t="s">
        <v>4</v>
      </c>
      <c r="E85" s="3" t="s">
        <v>74</v>
      </c>
      <c r="F85" s="3" t="s">
        <v>74</v>
      </c>
      <c r="G85" s="164" t="s">
        <v>376</v>
      </c>
      <c r="H85" s="51" t="s">
        <v>71</v>
      </c>
      <c r="I85" s="3" t="s">
        <v>4</v>
      </c>
      <c r="J85" s="3" t="s">
        <v>4</v>
      </c>
      <c r="K85" s="3" t="s">
        <v>74</v>
      </c>
      <c r="O85" s="201"/>
      <c r="P85" s="203"/>
      <c r="Q85" s="203"/>
      <c r="R85" s="198"/>
      <c r="S85" s="196"/>
      <c r="T85" s="196"/>
      <c r="U85" s="197"/>
      <c r="V85" s="197"/>
    </row>
    <row r="86" spans="1:22" x14ac:dyDescent="0.2">
      <c r="A86" s="199"/>
      <c r="B86" s="41"/>
      <c r="C86" s="3"/>
      <c r="D86" s="3"/>
      <c r="E86" s="3" t="s">
        <v>68</v>
      </c>
      <c r="F86" s="26" t="s">
        <v>69</v>
      </c>
      <c r="G86" s="50"/>
      <c r="H86" s="52"/>
      <c r="I86" s="3" t="s">
        <v>68</v>
      </c>
      <c r="J86" s="3" t="s">
        <v>68</v>
      </c>
      <c r="K86" s="26" t="s">
        <v>69</v>
      </c>
      <c r="O86" s="201"/>
      <c r="P86" s="203"/>
      <c r="Q86" s="203"/>
      <c r="R86" s="198"/>
      <c r="S86" s="196"/>
      <c r="T86" s="196"/>
      <c r="U86" s="197"/>
      <c r="V86" s="197"/>
    </row>
    <row r="87" spans="1:22" x14ac:dyDescent="0.2">
      <c r="A87" s="204"/>
      <c r="B87" s="247"/>
      <c r="C87" s="270"/>
      <c r="D87" s="270"/>
      <c r="E87" s="270" t="str">
        <f>("[ "&amp;D82&amp;" - "&amp;C82&amp;" ]")</f>
        <v>[ C - B ]</v>
      </c>
      <c r="F87" s="270" t="str">
        <f>("[ "&amp;E82&amp;" / "&amp;C82&amp;" ]")</f>
        <v>[ D / B ]</v>
      </c>
      <c r="G87" s="262"/>
      <c r="H87" s="262"/>
      <c r="I87" s="270" t="str">
        <f>("["&amp;C82&amp;"+"&amp;$G$10&amp;"+"&amp;$H$10&amp;"]")</f>
        <v>[B+F+G]</v>
      </c>
      <c r="J87" s="270" t="str">
        <f>("["&amp;D82&amp;"+"&amp;$G$10&amp;"+"&amp;$H$10&amp;"]")</f>
        <v>[C+F+G]</v>
      </c>
      <c r="K87" s="270" t="str">
        <f>("[("&amp;J82&amp;" - "&amp;I82&amp;")"&amp;I82&amp;"]")</f>
        <v>[(I - H)H]</v>
      </c>
      <c r="O87" s="201"/>
      <c r="P87" s="203"/>
      <c r="Q87" s="203"/>
      <c r="R87" s="198"/>
      <c r="S87" s="196"/>
      <c r="T87" s="196"/>
      <c r="U87" s="197"/>
      <c r="V87" s="197"/>
    </row>
    <row r="88" spans="1:22" x14ac:dyDescent="0.2">
      <c r="A88" s="88"/>
      <c r="C88" s="88"/>
      <c r="O88" s="88"/>
      <c r="P88" s="88"/>
      <c r="Q88" s="88"/>
    </row>
    <row r="89" spans="1:22" x14ac:dyDescent="0.2">
      <c r="A89" s="190" t="s">
        <v>89</v>
      </c>
      <c r="C89" s="88"/>
      <c r="O89" s="88"/>
      <c r="P89" s="88"/>
      <c r="Q89" s="88"/>
    </row>
    <row r="90" spans="1:22" ht="13.5" thickBot="1" x14ac:dyDescent="0.25">
      <c r="A90" s="192" t="s">
        <v>90</v>
      </c>
      <c r="C90" s="88"/>
      <c r="O90" s="88"/>
      <c r="P90" s="88"/>
      <c r="Q90" s="88"/>
    </row>
    <row r="91" spans="1:22" ht="15.75" thickBot="1" x14ac:dyDescent="0.25">
      <c r="A91" s="199" t="s">
        <v>145</v>
      </c>
      <c r="B91" s="402">
        <f t="shared" ref="B91:B94" si="35">+R91</f>
        <v>8.3000000000000004E-2</v>
      </c>
      <c r="C91" s="210">
        <f t="shared" ref="C91:C94" si="36">P91</f>
        <v>37.96</v>
      </c>
      <c r="D91" s="210">
        <f t="shared" ref="D91:D94" si="37">Q91</f>
        <v>39.090000000000003</v>
      </c>
      <c r="E91" s="211">
        <f t="shared" ref="E91:E94" si="38">+D91-C91</f>
        <v>1.1300000000000026</v>
      </c>
      <c r="F91" s="307">
        <f t="shared" ref="F91:F94" si="39">+E91/D91</f>
        <v>2.8907649015093437E-2</v>
      </c>
      <c r="G91" s="211">
        <f t="shared" ref="G91:G94" si="40">+S91</f>
        <v>-1.7532970250610611E-2</v>
      </c>
      <c r="H91" s="211">
        <f t="shared" ref="H91:H94" si="41">+T91</f>
        <v>5.9296761593727536E-2</v>
      </c>
      <c r="I91" s="210">
        <f t="shared" ref="I91:I94" si="42">U91</f>
        <v>38.001763791343116</v>
      </c>
      <c r="J91" s="211">
        <f t="shared" ref="J91:J94" si="43">+D91+G91+H91</f>
        <v>39.131763791343118</v>
      </c>
      <c r="K91" s="307">
        <f t="shared" ref="K91:K94" si="44">(J91-I91)/I91</f>
        <v>2.9735461917097094E-2</v>
      </c>
      <c r="M91" s="211"/>
      <c r="N91" s="88">
        <v>427</v>
      </c>
      <c r="O91" s="274" t="s">
        <v>145</v>
      </c>
      <c r="P91" s="302">
        <f>VLOOKUP($N91,INPUT!$AB$9:$AF$161,3,FALSE)</f>
        <v>37.96</v>
      </c>
      <c r="Q91" s="302">
        <f>VLOOKUP($N91,INPUT!$AB$9:$AF$161,4,FALSE)</f>
        <v>39.090000000000003</v>
      </c>
      <c r="R91" s="198">
        <f>VLOOKUP($N91,INPUT!$AB$9:$AF$161,5,FALSE)</f>
        <v>8.3000000000000004E-2</v>
      </c>
      <c r="S91" s="196">
        <f>($R91*INPUT!$P$60)*INPUT!$G$63</f>
        <v>-1.7532970250610611E-2</v>
      </c>
      <c r="T91" s="196">
        <f>($R91*INPUT!$P$60)*INPUT!$I$63</f>
        <v>5.9296761593727536E-2</v>
      </c>
      <c r="U91" s="197">
        <f t="shared" ref="U91:U94" si="45">+P91+S91+T91</f>
        <v>38.001763791343116</v>
      </c>
      <c r="V91" s="197">
        <f t="shared" ref="V91:V94" si="46">+Q91+S91+T91</f>
        <v>39.131763791343118</v>
      </c>
    </row>
    <row r="92" spans="1:22" ht="15.75" thickBot="1" x14ac:dyDescent="0.25">
      <c r="A92" s="199" t="s">
        <v>146</v>
      </c>
      <c r="B92" s="402">
        <f t="shared" si="35"/>
        <v>0.11700000000000001</v>
      </c>
      <c r="C92" s="210">
        <f t="shared" si="36"/>
        <v>38</v>
      </c>
      <c r="D92" s="210">
        <f t="shared" si="37"/>
        <v>39.130000000000003</v>
      </c>
      <c r="E92" s="211">
        <f t="shared" si="38"/>
        <v>1.1300000000000026</v>
      </c>
      <c r="F92" s="307">
        <f t="shared" si="39"/>
        <v>2.887809864554057E-2</v>
      </c>
      <c r="G92" s="211">
        <f t="shared" si="40"/>
        <v>-2.4715150835198093E-2</v>
      </c>
      <c r="H92" s="211">
        <f t="shared" si="41"/>
        <v>8.3587001282724366E-2</v>
      </c>
      <c r="I92" s="210">
        <f t="shared" si="42"/>
        <v>38.058871850447524</v>
      </c>
      <c r="J92" s="211">
        <f t="shared" si="43"/>
        <v>39.188871850447526</v>
      </c>
      <c r="K92" s="307">
        <f t="shared" si="44"/>
        <v>2.9690843292474397E-2</v>
      </c>
      <c r="M92" s="211"/>
      <c r="N92" s="88">
        <v>429</v>
      </c>
      <c r="O92" s="274" t="s">
        <v>146</v>
      </c>
      <c r="P92" s="302">
        <f>VLOOKUP($N92,INPUT!$AB$9:$AF$161,3,FALSE)</f>
        <v>38</v>
      </c>
      <c r="Q92" s="302">
        <f>VLOOKUP($N92,INPUT!$AB$9:$AF$161,4,FALSE)</f>
        <v>39.130000000000003</v>
      </c>
      <c r="R92" s="198">
        <f>VLOOKUP($N92,INPUT!$AB$9:$AF$161,5,FALSE)</f>
        <v>0.11700000000000001</v>
      </c>
      <c r="S92" s="196">
        <f>($R92*INPUT!$P$60)*INPUT!$G$63</f>
        <v>-2.4715150835198093E-2</v>
      </c>
      <c r="T92" s="196">
        <f>($R92*INPUT!$P$60)*INPUT!$I$63</f>
        <v>8.3587001282724366E-2</v>
      </c>
      <c r="U92" s="197">
        <f t="shared" si="45"/>
        <v>38.058871850447524</v>
      </c>
      <c r="V92" s="197">
        <f t="shared" si="46"/>
        <v>39.188871850447526</v>
      </c>
    </row>
    <row r="93" spans="1:22" ht="15.75" thickBot="1" x14ac:dyDescent="0.25">
      <c r="A93" s="199" t="s">
        <v>147</v>
      </c>
      <c r="B93" s="402">
        <f t="shared" si="35"/>
        <v>8.3000000000000004E-2</v>
      </c>
      <c r="C93" s="210">
        <f t="shared" si="36"/>
        <v>35.65</v>
      </c>
      <c r="D93" s="210">
        <f t="shared" si="37"/>
        <v>36.71</v>
      </c>
      <c r="E93" s="211">
        <f t="shared" si="38"/>
        <v>1.0600000000000023</v>
      </c>
      <c r="F93" s="307">
        <f t="shared" si="39"/>
        <v>2.8874965949332667E-2</v>
      </c>
      <c r="G93" s="211">
        <f t="shared" si="40"/>
        <v>-1.7532970250610611E-2</v>
      </c>
      <c r="H93" s="211">
        <f t="shared" si="41"/>
        <v>5.9296761593727536E-2</v>
      </c>
      <c r="I93" s="210">
        <f t="shared" si="42"/>
        <v>35.691763791343114</v>
      </c>
      <c r="J93" s="211">
        <f t="shared" si="43"/>
        <v>36.751763791343116</v>
      </c>
      <c r="K93" s="307">
        <f t="shared" si="44"/>
        <v>2.9698728429249012E-2</v>
      </c>
      <c r="M93" s="211"/>
      <c r="N93" s="88">
        <v>431</v>
      </c>
      <c r="O93" s="274" t="s">
        <v>147</v>
      </c>
      <c r="P93" s="302">
        <f>VLOOKUP($N93,INPUT!$AB$9:$AF$161,3,FALSE)</f>
        <v>35.65</v>
      </c>
      <c r="Q93" s="302">
        <f>VLOOKUP($N93,INPUT!$AB$9:$AF$161,4,FALSE)</f>
        <v>36.71</v>
      </c>
      <c r="R93" s="198">
        <f>VLOOKUP($N93,INPUT!$AB$9:$AF$161,5,FALSE)</f>
        <v>8.3000000000000004E-2</v>
      </c>
      <c r="S93" s="196">
        <f>($R93*INPUT!$P$60)*INPUT!$G$63</f>
        <v>-1.7532970250610611E-2</v>
      </c>
      <c r="T93" s="196">
        <f>($R93*INPUT!$P$60)*INPUT!$I$63</f>
        <v>5.9296761593727536E-2</v>
      </c>
      <c r="U93" s="197">
        <f t="shared" si="45"/>
        <v>35.691763791343114</v>
      </c>
      <c r="V93" s="197">
        <f t="shared" si="46"/>
        <v>36.751763791343116</v>
      </c>
    </row>
    <row r="94" spans="1:22" ht="15.75" thickBot="1" x14ac:dyDescent="0.25">
      <c r="A94" s="199" t="s">
        <v>148</v>
      </c>
      <c r="B94" s="402">
        <f t="shared" si="35"/>
        <v>0.17699999999999999</v>
      </c>
      <c r="C94" s="210">
        <f t="shared" si="36"/>
        <v>37.799999999999997</v>
      </c>
      <c r="D94" s="210">
        <f t="shared" si="37"/>
        <v>38.92</v>
      </c>
      <c r="E94" s="211">
        <f t="shared" si="38"/>
        <v>1.1200000000000045</v>
      </c>
      <c r="F94" s="307">
        <f t="shared" si="39"/>
        <v>2.8776978417266303E-2</v>
      </c>
      <c r="G94" s="211">
        <f t="shared" si="40"/>
        <v>-3.7389587160940693E-2</v>
      </c>
      <c r="H94" s="211">
        <f t="shared" si="41"/>
        <v>0.12645213014565992</v>
      </c>
      <c r="I94" s="210">
        <f t="shared" si="42"/>
        <v>37.889062542984718</v>
      </c>
      <c r="J94" s="211">
        <f t="shared" si="43"/>
        <v>39.009062542984722</v>
      </c>
      <c r="K94" s="307">
        <f t="shared" si="44"/>
        <v>2.9559981821386503E-2</v>
      </c>
      <c r="M94" s="211"/>
      <c r="N94" s="88">
        <v>433</v>
      </c>
      <c r="O94" s="274" t="s">
        <v>148</v>
      </c>
      <c r="P94" s="302">
        <f>VLOOKUP($N94,INPUT!$AB$9:$AF$161,3,FALSE)</f>
        <v>37.799999999999997</v>
      </c>
      <c r="Q94" s="302">
        <f>VLOOKUP($N94,INPUT!$AB$9:$AF$161,4,FALSE)</f>
        <v>38.92</v>
      </c>
      <c r="R94" s="198">
        <f>VLOOKUP($N94,INPUT!$AB$9:$AF$161,5,FALSE)</f>
        <v>0.17699999999999999</v>
      </c>
      <c r="S94" s="196">
        <f>($R94*INPUT!$P$60)*INPUT!$G$63</f>
        <v>-3.7389587160940693E-2</v>
      </c>
      <c r="T94" s="196">
        <f>($R94*INPUT!$P$60)*INPUT!$I$63</f>
        <v>0.12645213014565992</v>
      </c>
      <c r="U94" s="197">
        <f t="shared" si="45"/>
        <v>37.889062542984718</v>
      </c>
      <c r="V94" s="197">
        <f t="shared" si="46"/>
        <v>39.009062542984722</v>
      </c>
    </row>
    <row r="95" spans="1:22" x14ac:dyDescent="0.2">
      <c r="A95" s="88"/>
      <c r="C95" s="88"/>
      <c r="M95" s="211"/>
      <c r="O95" s="88"/>
      <c r="P95" s="88"/>
      <c r="Q95" s="88"/>
    </row>
    <row r="96" spans="1:22" ht="13.5" thickBot="1" x14ac:dyDescent="0.25">
      <c r="A96" s="192" t="s">
        <v>499</v>
      </c>
      <c r="C96" s="88"/>
      <c r="M96" s="211"/>
      <c r="O96" s="88"/>
      <c r="P96" s="88"/>
      <c r="Q96" s="88"/>
    </row>
    <row r="97" spans="1:22" ht="15.75" thickBot="1" x14ac:dyDescent="0.25">
      <c r="A97" s="88" t="s">
        <v>493</v>
      </c>
      <c r="B97" s="176" t="s">
        <v>500</v>
      </c>
      <c r="C97" s="210" t="s">
        <v>500</v>
      </c>
      <c r="D97" s="210">
        <f t="shared" ref="D97:D102" si="47">Q97</f>
        <v>30.99</v>
      </c>
      <c r="E97" s="210" t="s">
        <v>500</v>
      </c>
      <c r="F97" s="210" t="s">
        <v>500</v>
      </c>
      <c r="I97" s="210" t="s">
        <v>500</v>
      </c>
      <c r="J97" s="211">
        <f t="shared" ref="J97:J102" si="48">+D97+G97+H97</f>
        <v>30.99</v>
      </c>
      <c r="K97" s="210" t="s">
        <v>500</v>
      </c>
      <c r="M97" s="211"/>
      <c r="N97" s="88" t="s">
        <v>488</v>
      </c>
      <c r="O97" s="274" t="s">
        <v>493</v>
      </c>
      <c r="P97" s="302">
        <f>VLOOKUP($N97,INPUT!$AB$9:$AF$161,3,FALSE)</f>
        <v>0</v>
      </c>
      <c r="Q97" s="302">
        <f>VLOOKUP($N97,INPUT!$AB$9:$AF$161,4,FALSE)</f>
        <v>30.99</v>
      </c>
      <c r="R97" s="198">
        <f>VLOOKUP($N97,INPUT!$AB$9:$AF$161,5,FALSE)</f>
        <v>0</v>
      </c>
      <c r="S97" s="196">
        <f>($R97*INPUT!$P$60)*INPUT!$G$63</f>
        <v>0</v>
      </c>
      <c r="T97" s="196">
        <f>($R97*INPUT!$P$60)*INPUT!$I$63</f>
        <v>0</v>
      </c>
      <c r="U97" s="197">
        <f t="shared" ref="U97:U101" si="49">+P97+S97+T97</f>
        <v>0</v>
      </c>
      <c r="V97" s="197">
        <f t="shared" ref="V97:V101" si="50">+Q97+S97+T97</f>
        <v>30.99</v>
      </c>
    </row>
    <row r="98" spans="1:22" ht="15.75" thickBot="1" x14ac:dyDescent="0.25">
      <c r="A98" s="88" t="s">
        <v>494</v>
      </c>
      <c r="B98" s="176" t="s">
        <v>500</v>
      </c>
      <c r="C98" s="210" t="s">
        <v>500</v>
      </c>
      <c r="D98" s="210">
        <f t="shared" si="47"/>
        <v>14.94</v>
      </c>
      <c r="E98" s="210" t="s">
        <v>500</v>
      </c>
      <c r="F98" s="210" t="s">
        <v>500</v>
      </c>
      <c r="I98" s="210" t="s">
        <v>500</v>
      </c>
      <c r="J98" s="211">
        <f t="shared" si="48"/>
        <v>14.94</v>
      </c>
      <c r="K98" s="210" t="s">
        <v>500</v>
      </c>
      <c r="M98" s="211"/>
      <c r="N98" s="88" t="s">
        <v>489</v>
      </c>
      <c r="O98" s="274" t="s">
        <v>494</v>
      </c>
      <c r="P98" s="302">
        <f>VLOOKUP($N98,INPUT!$AB$9:$AF$161,3,FALSE)</f>
        <v>0</v>
      </c>
      <c r="Q98" s="302">
        <f>VLOOKUP($N98,INPUT!$AB$9:$AF$161,4,FALSE)</f>
        <v>14.94</v>
      </c>
      <c r="R98" s="198">
        <f>VLOOKUP($N98,INPUT!$AB$9:$AF$161,5,FALSE)</f>
        <v>0</v>
      </c>
      <c r="S98" s="196">
        <f>($R98*INPUT!$P$60)*INPUT!$G$63</f>
        <v>0</v>
      </c>
      <c r="T98" s="196">
        <f>($R98*INPUT!$P$60)*INPUT!$I$63</f>
        <v>0</v>
      </c>
      <c r="U98" s="197">
        <f t="shared" si="49"/>
        <v>0</v>
      </c>
      <c r="V98" s="197">
        <f t="shared" si="50"/>
        <v>14.94</v>
      </c>
    </row>
    <row r="99" spans="1:22" ht="15.75" thickBot="1" x14ac:dyDescent="0.25">
      <c r="A99" s="88" t="s">
        <v>495</v>
      </c>
      <c r="B99" s="176" t="s">
        <v>500</v>
      </c>
      <c r="C99" s="210" t="s">
        <v>500</v>
      </c>
      <c r="D99" s="210">
        <f t="shared" si="47"/>
        <v>21.93</v>
      </c>
      <c r="E99" s="210" t="s">
        <v>500</v>
      </c>
      <c r="F99" s="210" t="s">
        <v>500</v>
      </c>
      <c r="I99" s="210" t="s">
        <v>500</v>
      </c>
      <c r="J99" s="211">
        <f t="shared" si="48"/>
        <v>21.93</v>
      </c>
      <c r="K99" s="210" t="s">
        <v>500</v>
      </c>
      <c r="M99" s="211"/>
      <c r="N99" s="88" t="s">
        <v>490</v>
      </c>
      <c r="O99" s="274" t="s">
        <v>495</v>
      </c>
      <c r="P99" s="302">
        <f>VLOOKUP($N99,INPUT!$AB$9:$AF$161,3,FALSE)</f>
        <v>0</v>
      </c>
      <c r="Q99" s="302">
        <f>VLOOKUP($N99,INPUT!$AB$9:$AF$161,4,FALSE)</f>
        <v>21.93</v>
      </c>
      <c r="R99" s="198">
        <f>VLOOKUP($N99,INPUT!$AB$9:$AF$161,5,FALSE)</f>
        <v>0</v>
      </c>
      <c r="S99" s="196">
        <f>($R99*INPUT!$P$60)*INPUT!$G$63</f>
        <v>0</v>
      </c>
      <c r="T99" s="196">
        <f>($R99*INPUT!$P$60)*INPUT!$I$63</f>
        <v>0</v>
      </c>
      <c r="U99" s="197">
        <f t="shared" si="49"/>
        <v>0</v>
      </c>
      <c r="V99" s="197">
        <f t="shared" si="50"/>
        <v>21.93</v>
      </c>
    </row>
    <row r="100" spans="1:22" ht="15.75" thickBot="1" x14ac:dyDescent="0.25">
      <c r="A100" s="88" t="s">
        <v>496</v>
      </c>
      <c r="B100" s="176" t="s">
        <v>500</v>
      </c>
      <c r="C100" s="210" t="s">
        <v>500</v>
      </c>
      <c r="D100" s="210">
        <f t="shared" si="47"/>
        <v>14.73</v>
      </c>
      <c r="E100" s="210" t="s">
        <v>500</v>
      </c>
      <c r="F100" s="210" t="s">
        <v>500</v>
      </c>
      <c r="I100" s="210" t="s">
        <v>500</v>
      </c>
      <c r="J100" s="211">
        <f t="shared" si="48"/>
        <v>14.73</v>
      </c>
      <c r="K100" s="210" t="s">
        <v>500</v>
      </c>
      <c r="M100" s="211"/>
      <c r="N100" s="88" t="s">
        <v>491</v>
      </c>
      <c r="O100" s="274" t="s">
        <v>496</v>
      </c>
      <c r="P100" s="302">
        <f>VLOOKUP($N100,INPUT!$AB$9:$AF$161,3,FALSE)</f>
        <v>0</v>
      </c>
      <c r="Q100" s="302">
        <f>VLOOKUP($N100,INPUT!$AB$9:$AF$161,4,FALSE)</f>
        <v>14.73</v>
      </c>
      <c r="R100" s="198">
        <f>VLOOKUP($N100,INPUT!$AB$9:$AF$161,5,FALSE)</f>
        <v>0</v>
      </c>
      <c r="S100" s="196">
        <f>($R100*INPUT!$P$60)*INPUT!$G$63</f>
        <v>0</v>
      </c>
      <c r="T100" s="196">
        <f>($R100*INPUT!$P$60)*INPUT!$I$63</f>
        <v>0</v>
      </c>
      <c r="U100" s="197">
        <f t="shared" si="49"/>
        <v>0</v>
      </c>
      <c r="V100" s="197">
        <f t="shared" si="50"/>
        <v>14.73</v>
      </c>
    </row>
    <row r="101" spans="1:22" ht="15.75" thickBot="1" x14ac:dyDescent="0.25">
      <c r="A101" s="88" t="s">
        <v>497</v>
      </c>
      <c r="B101" s="176" t="s">
        <v>500</v>
      </c>
      <c r="C101" s="210" t="s">
        <v>500</v>
      </c>
      <c r="D101" s="210">
        <f t="shared" si="47"/>
        <v>20.5</v>
      </c>
      <c r="E101" s="210" t="s">
        <v>500</v>
      </c>
      <c r="F101" s="210" t="s">
        <v>500</v>
      </c>
      <c r="I101" s="210" t="s">
        <v>500</v>
      </c>
      <c r="J101" s="211">
        <f t="shared" si="48"/>
        <v>20.5</v>
      </c>
      <c r="K101" s="210" t="s">
        <v>500</v>
      </c>
      <c r="M101" s="211"/>
      <c r="N101" s="88" t="s">
        <v>492</v>
      </c>
      <c r="O101" s="274" t="s">
        <v>497</v>
      </c>
      <c r="P101" s="302">
        <f>VLOOKUP($N101,INPUT!$AB$9:$AF$161,3,FALSE)</f>
        <v>0</v>
      </c>
      <c r="Q101" s="302">
        <f>VLOOKUP($N101,INPUT!$AB$9:$AF$161,4,FALSE)</f>
        <v>20.5</v>
      </c>
      <c r="R101" s="198">
        <f>VLOOKUP($N101,INPUT!$AB$9:$AF$161,5,FALSE)</f>
        <v>0</v>
      </c>
      <c r="S101" s="196">
        <f>($R101*INPUT!$P$60)*INPUT!$G$63</f>
        <v>0</v>
      </c>
      <c r="T101" s="196">
        <f>($R101*INPUT!$P$60)*INPUT!$I$63</f>
        <v>0</v>
      </c>
      <c r="U101" s="197">
        <f t="shared" si="49"/>
        <v>0</v>
      </c>
      <c r="V101" s="197">
        <f t="shared" si="50"/>
        <v>20.5</v>
      </c>
    </row>
    <row r="102" spans="1:22" ht="15.75" thickBot="1" x14ac:dyDescent="0.25">
      <c r="A102" s="88" t="s">
        <v>498</v>
      </c>
      <c r="B102" s="176" t="s">
        <v>500</v>
      </c>
      <c r="C102" s="210" t="s">
        <v>500</v>
      </c>
      <c r="D102" s="210">
        <f t="shared" si="47"/>
        <v>7.49</v>
      </c>
      <c r="E102" s="210" t="s">
        <v>500</v>
      </c>
      <c r="F102" s="210" t="s">
        <v>500</v>
      </c>
      <c r="I102" s="210" t="s">
        <v>500</v>
      </c>
      <c r="J102" s="211">
        <f t="shared" si="48"/>
        <v>7.49</v>
      </c>
      <c r="K102" s="210" t="s">
        <v>500</v>
      </c>
      <c r="M102" s="211"/>
      <c r="N102" s="88" t="s">
        <v>501</v>
      </c>
      <c r="O102" s="403" t="s">
        <v>498</v>
      </c>
      <c r="P102" s="302">
        <f>VLOOKUP($N102,INPUT!$AB$9:$AF$161,3,FALSE)</f>
        <v>0</v>
      </c>
      <c r="Q102" s="302">
        <f>VLOOKUP($N102,INPUT!$AB$9:$AF$161,4,FALSE)</f>
        <v>7.49</v>
      </c>
      <c r="R102" s="198">
        <f>VLOOKUP($N102,INPUT!$AB$9:$AF$161,5,FALSE)</f>
        <v>0</v>
      </c>
      <c r="S102" s="196">
        <f>($R102*INPUT!$P$60)*INPUT!$G$63</f>
        <v>0</v>
      </c>
      <c r="T102" s="196">
        <f>($R102*INPUT!$P$60)*INPUT!$I$63</f>
        <v>0</v>
      </c>
      <c r="U102" s="197">
        <f t="shared" ref="U102" si="51">+P102+S102+T102</f>
        <v>0</v>
      </c>
      <c r="V102" s="197">
        <f t="shared" ref="V102" si="52">+Q102+S102+T102</f>
        <v>7.49</v>
      </c>
    </row>
    <row r="103" spans="1:22" x14ac:dyDescent="0.2">
      <c r="A103" s="88"/>
      <c r="C103" s="88"/>
      <c r="O103" s="88"/>
      <c r="P103" s="88"/>
      <c r="Q103" s="88"/>
    </row>
    <row r="104" spans="1:22" x14ac:dyDescent="0.2">
      <c r="A104" s="199"/>
      <c r="B104" s="189"/>
      <c r="C104" s="210"/>
      <c r="D104" s="210"/>
      <c r="E104" s="211"/>
      <c r="F104" s="195"/>
      <c r="G104" s="212"/>
      <c r="H104" s="211"/>
      <c r="I104" s="211"/>
      <c r="J104" s="211"/>
      <c r="K104" s="195"/>
      <c r="O104" s="199"/>
      <c r="P104" s="203"/>
      <c r="Q104" s="203"/>
      <c r="R104" s="198"/>
      <c r="S104" s="196"/>
      <c r="T104" s="196"/>
      <c r="U104" s="197"/>
      <c r="V104" s="197"/>
    </row>
    <row r="105" spans="1:22" x14ac:dyDescent="0.2">
      <c r="A105" s="175" t="s">
        <v>314</v>
      </c>
      <c r="B105" s="189"/>
      <c r="C105" s="210"/>
      <c r="D105" s="210"/>
      <c r="E105" s="211"/>
      <c r="F105" s="195"/>
      <c r="G105" s="212"/>
      <c r="H105" s="211"/>
      <c r="I105" s="211"/>
      <c r="J105" s="211"/>
      <c r="K105" s="195"/>
      <c r="O105" s="199"/>
      <c r="P105" s="203"/>
      <c r="Q105" s="203"/>
      <c r="R105" s="198"/>
      <c r="S105" s="196"/>
      <c r="T105" s="196"/>
      <c r="U105" s="197"/>
      <c r="V105" s="197"/>
    </row>
    <row r="106" spans="1:22" x14ac:dyDescent="0.2">
      <c r="A106" s="172" t="s">
        <v>328</v>
      </c>
      <c r="B106" s="189"/>
      <c r="C106" s="210"/>
      <c r="D106" s="210"/>
      <c r="E106" s="211"/>
      <c r="F106" s="195"/>
      <c r="G106" s="212"/>
      <c r="H106" s="211"/>
      <c r="I106" s="211"/>
      <c r="J106" s="211"/>
      <c r="K106" s="195"/>
      <c r="O106" s="199"/>
      <c r="P106" s="203"/>
      <c r="Q106" s="203"/>
      <c r="R106" s="198"/>
      <c r="S106" s="196"/>
      <c r="T106" s="196"/>
      <c r="U106" s="197"/>
      <c r="V106" s="197"/>
    </row>
    <row r="107" spans="1:22" x14ac:dyDescent="0.2">
      <c r="A107" s="172" t="str">
        <f>+'Rate Case Constants'!$C$26</f>
        <v>Calculations may vary from other schedules due to rounding</v>
      </c>
      <c r="B107" s="189"/>
      <c r="C107" s="210"/>
      <c r="D107" s="210"/>
      <c r="E107" s="211"/>
      <c r="F107" s="195"/>
      <c r="G107" s="212"/>
      <c r="H107" s="211"/>
      <c r="I107" s="211"/>
      <c r="J107" s="211"/>
      <c r="K107" s="195"/>
      <c r="O107" s="199"/>
      <c r="P107" s="203"/>
      <c r="Q107" s="203"/>
      <c r="R107" s="198"/>
      <c r="S107" s="196"/>
      <c r="T107" s="196"/>
      <c r="U107" s="197"/>
      <c r="V107" s="197"/>
    </row>
    <row r="108" spans="1:22" x14ac:dyDescent="0.2">
      <c r="A108" s="442" t="str">
        <f>+A1</f>
        <v>LOUISVILLE GAS AND ELECTRIC COMPANY</v>
      </c>
      <c r="B108" s="442"/>
      <c r="C108" s="442"/>
      <c r="D108" s="442"/>
      <c r="E108" s="442"/>
      <c r="F108" s="442"/>
      <c r="G108" s="442"/>
      <c r="H108" s="442"/>
      <c r="I108" s="442"/>
      <c r="J108" s="442"/>
      <c r="K108" s="442"/>
      <c r="O108" s="199"/>
      <c r="P108" s="203"/>
      <c r="Q108" s="203"/>
      <c r="R108" s="198"/>
      <c r="S108" s="196"/>
      <c r="T108" s="196"/>
      <c r="U108" s="197"/>
      <c r="V108" s="197"/>
    </row>
    <row r="109" spans="1:22" x14ac:dyDescent="0.2">
      <c r="A109" s="442" t="str">
        <f>+A2</f>
        <v>CASE NO. 2018-00295</v>
      </c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O109" s="199"/>
      <c r="P109" s="203"/>
      <c r="Q109" s="203"/>
      <c r="R109" s="198"/>
      <c r="S109" s="196"/>
      <c r="T109" s="196"/>
      <c r="U109" s="197"/>
      <c r="V109" s="197"/>
    </row>
    <row r="110" spans="1:22" x14ac:dyDescent="0.2">
      <c r="A110" s="442" t="str">
        <f>+A3</f>
        <v>Typical Bill Comparison under Present &amp; Proposed Rates</v>
      </c>
      <c r="B110" s="442"/>
      <c r="C110" s="442"/>
      <c r="D110" s="442"/>
      <c r="E110" s="442"/>
      <c r="F110" s="442"/>
      <c r="G110" s="442"/>
      <c r="H110" s="442"/>
      <c r="I110" s="442"/>
      <c r="J110" s="442"/>
      <c r="K110" s="442"/>
      <c r="O110" s="199"/>
      <c r="P110" s="203"/>
      <c r="Q110" s="203"/>
      <c r="R110" s="198"/>
      <c r="S110" s="196"/>
      <c r="T110" s="196"/>
      <c r="U110" s="197"/>
      <c r="V110" s="197"/>
    </row>
    <row r="111" spans="1:22" x14ac:dyDescent="0.2">
      <c r="A111" s="442" t="str">
        <f>+A4</f>
        <v>FORECAST PERIOD FOR THE 12 MONTHS ENDED APRIL 30, 2020</v>
      </c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O111" s="199"/>
      <c r="P111" s="203"/>
      <c r="Q111" s="203"/>
      <c r="R111" s="198"/>
      <c r="S111" s="196"/>
      <c r="T111" s="196"/>
      <c r="U111" s="197"/>
      <c r="V111" s="197"/>
    </row>
    <row r="112" spans="1:22" x14ac:dyDescent="0.2">
      <c r="A112" s="295"/>
      <c r="B112" s="295"/>
      <c r="C112" s="272"/>
      <c r="D112" s="290"/>
      <c r="E112" s="290"/>
      <c r="F112" s="290"/>
      <c r="G112" s="291"/>
      <c r="H112" s="294"/>
      <c r="I112" s="294"/>
      <c r="J112" s="294"/>
      <c r="K112" s="291"/>
      <c r="O112" s="199"/>
      <c r="P112" s="203"/>
      <c r="Q112" s="203"/>
      <c r="R112" s="198"/>
      <c r="S112" s="196"/>
      <c r="T112" s="196"/>
      <c r="U112" s="197"/>
      <c r="V112" s="197"/>
    </row>
    <row r="113" spans="1:22" x14ac:dyDescent="0.2">
      <c r="A113" s="295" t="str">
        <f>+A6</f>
        <v>DATA: ____BASE PERIOD__X___FORECASTED PERIOD</v>
      </c>
      <c r="B113" s="295"/>
      <c r="C113" s="272"/>
      <c r="D113" s="290"/>
      <c r="E113" s="290"/>
      <c r="F113" s="290"/>
      <c r="G113" s="291"/>
      <c r="H113" s="294"/>
      <c r="I113" s="294"/>
      <c r="J113" s="294"/>
      <c r="K113" s="293" t="str">
        <f>+K6</f>
        <v>SCHEDULE N</v>
      </c>
      <c r="O113" s="199"/>
      <c r="P113" s="203"/>
      <c r="Q113" s="203"/>
      <c r="R113" s="198"/>
      <c r="S113" s="196"/>
      <c r="T113" s="196"/>
      <c r="U113" s="197"/>
      <c r="V113" s="197"/>
    </row>
    <row r="114" spans="1:22" x14ac:dyDescent="0.2">
      <c r="A114" s="295" t="str">
        <f>+A7</f>
        <v>TYPE OF FILING: __X__ ORIGINAL  _____ UPDATED  _____ REVISED</v>
      </c>
      <c r="B114" s="295"/>
      <c r="C114" s="272"/>
      <c r="D114" s="290"/>
      <c r="E114" s="290"/>
      <c r="F114" s="290"/>
      <c r="G114" s="291"/>
      <c r="H114" s="294"/>
      <c r="I114" s="294"/>
      <c r="J114" s="294"/>
      <c r="K114" s="293" t="str">
        <f>+'Rate Case Constants'!L24</f>
        <v>PAGE 17 of 26</v>
      </c>
      <c r="O114" s="199"/>
      <c r="P114" s="203"/>
      <c r="Q114" s="203"/>
      <c r="R114" s="198"/>
      <c r="S114" s="196"/>
      <c r="T114" s="196"/>
      <c r="U114" s="197"/>
      <c r="V114" s="197"/>
    </row>
    <row r="115" spans="1:22" x14ac:dyDescent="0.2">
      <c r="A115" s="295" t="str">
        <f>+A8</f>
        <v>WORKPAPER REFERENCE NO(S):________</v>
      </c>
      <c r="B115" s="295"/>
      <c r="C115" s="272"/>
      <c r="D115" s="290"/>
      <c r="E115" s="290"/>
      <c r="F115" s="290"/>
      <c r="G115" s="291"/>
      <c r="H115" s="294"/>
      <c r="I115" s="294"/>
      <c r="J115" s="294"/>
      <c r="K115" s="293" t="str">
        <f>+K8</f>
        <v>WITNESS:   R. M. CONROY</v>
      </c>
      <c r="O115" s="199"/>
      <c r="P115" s="203"/>
      <c r="Q115" s="203"/>
      <c r="R115" s="198"/>
      <c r="S115" s="196"/>
      <c r="T115" s="196"/>
      <c r="U115" s="197"/>
      <c r="V115" s="197"/>
    </row>
    <row r="116" spans="1:22" x14ac:dyDescent="0.2">
      <c r="A116" s="190"/>
      <c r="B116" s="190"/>
      <c r="C116" s="272"/>
      <c r="D116" s="290"/>
      <c r="E116" s="290"/>
      <c r="F116" s="290"/>
      <c r="G116" s="291"/>
      <c r="H116" s="294"/>
      <c r="I116" s="294"/>
      <c r="J116" s="294"/>
      <c r="K116" s="291"/>
      <c r="O116" s="180" t="s">
        <v>94</v>
      </c>
      <c r="R116" s="198"/>
      <c r="S116" s="196"/>
      <c r="T116" s="196"/>
      <c r="U116" s="197"/>
      <c r="V116" s="197"/>
    </row>
    <row r="117" spans="1:22" x14ac:dyDescent="0.2">
      <c r="A117" s="230" t="s">
        <v>94</v>
      </c>
      <c r="B117" s="3" t="s">
        <v>304</v>
      </c>
      <c r="C117" s="26" t="s">
        <v>305</v>
      </c>
      <c r="D117" s="26" t="s">
        <v>306</v>
      </c>
      <c r="E117" s="3" t="s">
        <v>307</v>
      </c>
      <c r="F117" s="3" t="s">
        <v>308</v>
      </c>
      <c r="G117" s="26" t="s">
        <v>309</v>
      </c>
      <c r="H117" s="3" t="s">
        <v>310</v>
      </c>
      <c r="I117" s="3" t="s">
        <v>311</v>
      </c>
      <c r="J117" s="3" t="s">
        <v>312</v>
      </c>
      <c r="K117" s="3" t="s">
        <v>313</v>
      </c>
      <c r="O117" s="221"/>
      <c r="P117" s="199" t="s">
        <v>85</v>
      </c>
      <c r="Q117" s="199" t="s">
        <v>85</v>
      </c>
      <c r="R117" s="198"/>
      <c r="S117" s="196"/>
      <c r="T117" s="196"/>
      <c r="U117" s="197"/>
      <c r="V117" s="197"/>
    </row>
    <row r="118" spans="1:22" x14ac:dyDescent="0.2">
      <c r="A118" s="205"/>
      <c r="B118" s="41"/>
      <c r="C118" s="231" t="s">
        <v>339</v>
      </c>
      <c r="D118" s="231" t="s">
        <v>339</v>
      </c>
      <c r="E118"/>
      <c r="F118"/>
      <c r="G118" s="30"/>
      <c r="H118" s="30"/>
      <c r="I118" s="3" t="s">
        <v>5</v>
      </c>
      <c r="J118" s="3" t="s">
        <v>5</v>
      </c>
      <c r="K118"/>
      <c r="O118" s="221"/>
      <c r="P118" s="199"/>
      <c r="Q118" s="199"/>
      <c r="R118" s="198"/>
      <c r="S118" s="196"/>
      <c r="T118" s="196"/>
      <c r="U118" s="197"/>
      <c r="V118" s="197"/>
    </row>
    <row r="119" spans="1:22" x14ac:dyDescent="0.2">
      <c r="A119" s="205"/>
      <c r="B119" s="3" t="s">
        <v>327</v>
      </c>
      <c r="C119" s="3" t="s">
        <v>1</v>
      </c>
      <c r="D119" s="3" t="s">
        <v>73</v>
      </c>
      <c r="E119" s="3"/>
      <c r="F119" s="3"/>
      <c r="G119" s="440" t="s">
        <v>126</v>
      </c>
      <c r="H119" s="440"/>
      <c r="I119" s="3" t="s">
        <v>1</v>
      </c>
      <c r="J119" s="3" t="s">
        <v>73</v>
      </c>
      <c r="K119" s="3"/>
      <c r="O119" s="221"/>
      <c r="P119" s="199"/>
      <c r="Q119" s="199"/>
      <c r="R119" s="198"/>
      <c r="S119" s="196"/>
      <c r="T119" s="196"/>
      <c r="U119" s="197"/>
      <c r="V119" s="197"/>
    </row>
    <row r="120" spans="1:22" x14ac:dyDescent="0.2">
      <c r="A120" s="205"/>
      <c r="B120" s="3" t="s">
        <v>20</v>
      </c>
      <c r="C120" s="3" t="s">
        <v>4</v>
      </c>
      <c r="D120" s="3" t="s">
        <v>4</v>
      </c>
      <c r="E120" s="3" t="s">
        <v>74</v>
      </c>
      <c r="F120" s="3" t="s">
        <v>74</v>
      </c>
      <c r="G120" s="164" t="s">
        <v>376</v>
      </c>
      <c r="H120" s="51" t="s">
        <v>71</v>
      </c>
      <c r="I120" s="3" t="s">
        <v>4</v>
      </c>
      <c r="J120" s="3" t="s">
        <v>4</v>
      </c>
      <c r="K120" s="3" t="s">
        <v>74</v>
      </c>
      <c r="O120" s="221"/>
      <c r="P120" s="199"/>
      <c r="Q120" s="199"/>
      <c r="R120" s="198"/>
      <c r="S120" s="196"/>
      <c r="T120" s="196"/>
      <c r="U120" s="197"/>
      <c r="V120" s="197"/>
    </row>
    <row r="121" spans="1:22" x14ac:dyDescent="0.2">
      <c r="A121" s="205"/>
      <c r="B121" s="41"/>
      <c r="C121" s="3"/>
      <c r="D121" s="3"/>
      <c r="E121" s="3" t="s">
        <v>68</v>
      </c>
      <c r="F121" s="26" t="s">
        <v>69</v>
      </c>
      <c r="G121" s="50"/>
      <c r="H121" s="52"/>
      <c r="I121" s="3" t="s">
        <v>68</v>
      </c>
      <c r="J121" s="3" t="s">
        <v>68</v>
      </c>
      <c r="K121" s="26" t="s">
        <v>69</v>
      </c>
      <c r="O121" s="221"/>
      <c r="P121" s="199"/>
      <c r="Q121" s="199"/>
      <c r="R121" s="198"/>
      <c r="S121" s="196"/>
      <c r="T121" s="196"/>
      <c r="U121" s="197"/>
      <c r="V121" s="197"/>
    </row>
    <row r="122" spans="1:22" ht="13.5" thickBot="1" x14ac:dyDescent="0.25">
      <c r="A122" s="263"/>
      <c r="B122" s="247"/>
      <c r="C122" s="270"/>
      <c r="D122" s="270"/>
      <c r="E122" s="270" t="str">
        <f>("[ "&amp;D117&amp;" - "&amp;C117&amp;" ]")</f>
        <v>[ C - B ]</v>
      </c>
      <c r="F122" s="270" t="str">
        <f>("[ "&amp;E117&amp;" / "&amp;C117&amp;" ]")</f>
        <v>[ D / B ]</v>
      </c>
      <c r="G122" s="262"/>
      <c r="H122" s="262"/>
      <c r="I122" s="270" t="str">
        <f>("["&amp;C117&amp;"+"&amp;$G$10&amp;"+"&amp;$H$10&amp;"]")</f>
        <v>[B+F+G]</v>
      </c>
      <c r="J122" s="270" t="str">
        <f>("["&amp;D117&amp;"+"&amp;$G$10&amp;"+"&amp;$H$10&amp;"]")</f>
        <v>[C+F+G]</v>
      </c>
      <c r="K122" s="270" t="str">
        <f>("[("&amp;J117&amp;" - "&amp;I117&amp;")"&amp;I117&amp;"]")</f>
        <v>[(I - H)H]</v>
      </c>
      <c r="O122" s="221"/>
      <c r="P122" s="189" t="s">
        <v>1</v>
      </c>
      <c r="Q122" s="189" t="s">
        <v>1</v>
      </c>
      <c r="R122" s="198"/>
      <c r="S122" s="196"/>
      <c r="T122" s="196"/>
      <c r="U122" s="197"/>
      <c r="V122" s="197"/>
    </row>
    <row r="123" spans="1:22" ht="13.5" thickBot="1" x14ac:dyDescent="0.25">
      <c r="A123" s="190" t="s">
        <v>86</v>
      </c>
      <c r="B123" s="207"/>
      <c r="G123" s="195"/>
      <c r="K123" s="195"/>
      <c r="O123" s="394" t="s">
        <v>86</v>
      </c>
      <c r="P123" s="395"/>
      <c r="Q123" s="395"/>
      <c r="R123" s="198"/>
      <c r="S123" s="196"/>
      <c r="T123" s="196"/>
    </row>
    <row r="124" spans="1:22" ht="15.75" thickBot="1" x14ac:dyDescent="0.25">
      <c r="A124" s="199" t="s">
        <v>97</v>
      </c>
      <c r="B124" s="206"/>
      <c r="G124" s="195"/>
      <c r="K124" s="195"/>
      <c r="O124" s="274" t="s">
        <v>97</v>
      </c>
      <c r="P124" s="302"/>
      <c r="Q124" s="303"/>
      <c r="R124" s="198"/>
      <c r="S124" s="196"/>
      <c r="T124" s="196"/>
    </row>
    <row r="125" spans="1:22" ht="15.75" thickBot="1" x14ac:dyDescent="0.25">
      <c r="A125" s="199" t="s">
        <v>544</v>
      </c>
      <c r="B125" s="402">
        <f t="shared" ref="B125:B131" si="53">+R125</f>
        <v>0.21</v>
      </c>
      <c r="C125" s="210">
        <f t="shared" ref="C125:C131" si="54">P125</f>
        <v>10.88</v>
      </c>
      <c r="D125" s="210">
        <f t="shared" ref="D125:D131" si="55">Q125</f>
        <v>11.2</v>
      </c>
      <c r="E125" s="211">
        <f t="shared" ref="E125:E131" si="56">+D125-C125</f>
        <v>0.31999999999999851</v>
      </c>
      <c r="F125" s="307">
        <f t="shared" ref="F125:F131" si="57">+E125/D125</f>
        <v>2.8571428571428439E-2</v>
      </c>
      <c r="G125" s="211">
        <f t="shared" ref="G125:G131" si="58">+S125</f>
        <v>-4.4360527140099137E-2</v>
      </c>
      <c r="H125" s="211">
        <f t="shared" ref="H125:H131" si="59">+T125</f>
        <v>0.1500279510202745</v>
      </c>
      <c r="I125" s="210">
        <f t="shared" ref="I125:I131" si="60">U125</f>
        <v>10.985667423880175</v>
      </c>
      <c r="J125" s="211">
        <f t="shared" ref="J125:J131" si="61">+D125+G125+H125</f>
        <v>11.305667423880173</v>
      </c>
      <c r="K125" s="307">
        <f t="shared" ref="K125:K131" si="62">(J125-I125)/I125</f>
        <v>2.9128862876769433E-2</v>
      </c>
      <c r="M125" s="211"/>
      <c r="N125" s="88">
        <v>252</v>
      </c>
      <c r="O125" s="274" t="s">
        <v>544</v>
      </c>
      <c r="P125" s="302">
        <f>VLOOKUP($N125,INPUT!$AB$9:$AF$161,3,FALSE)</f>
        <v>10.88</v>
      </c>
      <c r="Q125" s="302">
        <f>VLOOKUP($N125,INPUT!$AB$9:$AF$161,4,FALSE)</f>
        <v>11.2</v>
      </c>
      <c r="R125" s="198">
        <f>VLOOKUP($N125,INPUT!$AB$9:$AF$161,5,FALSE)</f>
        <v>0.21</v>
      </c>
      <c r="S125" s="196">
        <f>($R125*INPUT!$P$60)*INPUT!$G$63</f>
        <v>-4.4360527140099137E-2</v>
      </c>
      <c r="T125" s="196">
        <f>($R125*INPUT!$P$60)*INPUT!$I$63</f>
        <v>0.1500279510202745</v>
      </c>
      <c r="U125" s="197">
        <f t="shared" ref="U125:U131" si="63">+P125+S125+T125</f>
        <v>10.985667423880175</v>
      </c>
      <c r="V125" s="197">
        <f t="shared" ref="V125:V131" si="64">+Q125+S125+T125</f>
        <v>11.305667423880173</v>
      </c>
    </row>
    <row r="126" spans="1:22" ht="15.75" thickBot="1" x14ac:dyDescent="0.25">
      <c r="A126" s="199" t="s">
        <v>545</v>
      </c>
      <c r="B126" s="402">
        <f t="shared" si="53"/>
        <v>0.29799999999999999</v>
      </c>
      <c r="C126" s="210">
        <f t="shared" si="54"/>
        <v>12.36</v>
      </c>
      <c r="D126" s="210">
        <f t="shared" si="55"/>
        <v>12.73</v>
      </c>
      <c r="E126" s="211">
        <f t="shared" si="56"/>
        <v>0.37000000000000099</v>
      </c>
      <c r="F126" s="307">
        <f t="shared" si="57"/>
        <v>2.906520031421846E-2</v>
      </c>
      <c r="G126" s="211">
        <f t="shared" si="58"/>
        <v>-6.2949700417854956E-2</v>
      </c>
      <c r="H126" s="211">
        <f t="shared" si="59"/>
        <v>0.21289680668591332</v>
      </c>
      <c r="I126" s="210">
        <f t="shared" si="60"/>
        <v>12.509947106268058</v>
      </c>
      <c r="J126" s="211">
        <f t="shared" si="61"/>
        <v>12.879947106268059</v>
      </c>
      <c r="K126" s="307">
        <f t="shared" si="62"/>
        <v>2.9576463981579426E-2</v>
      </c>
      <c r="M126" s="211"/>
      <c r="N126" s="88">
        <v>203</v>
      </c>
      <c r="O126" s="274" t="s">
        <v>545</v>
      </c>
      <c r="P126" s="302">
        <f>VLOOKUP($N126,INPUT!$AB$9:$AF$161,3,FALSE)</f>
        <v>12.36</v>
      </c>
      <c r="Q126" s="302">
        <f>VLOOKUP($N126,INPUT!$AB$9:$AF$161,4,FALSE)</f>
        <v>12.73</v>
      </c>
      <c r="R126" s="198">
        <f>VLOOKUP($N126,INPUT!$AB$9:$AF$161,5,FALSE)</f>
        <v>0.29799999999999999</v>
      </c>
      <c r="S126" s="196">
        <f>($R126*INPUT!$P$60)*INPUT!$G$63</f>
        <v>-6.2949700417854956E-2</v>
      </c>
      <c r="T126" s="196">
        <f>($R126*INPUT!$P$60)*INPUT!$I$63</f>
        <v>0.21289680668591332</v>
      </c>
      <c r="U126" s="197">
        <f t="shared" si="63"/>
        <v>12.509947106268058</v>
      </c>
      <c r="V126" s="197">
        <f t="shared" si="64"/>
        <v>12.879947106268059</v>
      </c>
    </row>
    <row r="127" spans="1:22" ht="15.75" thickBot="1" x14ac:dyDescent="0.25">
      <c r="A127" s="199" t="s">
        <v>546</v>
      </c>
      <c r="B127" s="402">
        <f t="shared" si="53"/>
        <v>0.46200000000000002</v>
      </c>
      <c r="C127" s="210">
        <f t="shared" si="54"/>
        <v>15.12</v>
      </c>
      <c r="D127" s="210">
        <f t="shared" si="55"/>
        <v>15.57</v>
      </c>
      <c r="E127" s="211">
        <f t="shared" si="56"/>
        <v>0.45000000000000107</v>
      </c>
      <c r="F127" s="307">
        <f t="shared" si="57"/>
        <v>2.8901734104046312E-2</v>
      </c>
      <c r="G127" s="211">
        <f t="shared" si="58"/>
        <v>-9.7593159708218108E-2</v>
      </c>
      <c r="H127" s="211">
        <f t="shared" si="59"/>
        <v>0.3300614922446039</v>
      </c>
      <c r="I127" s="210">
        <f t="shared" si="60"/>
        <v>15.352468332536386</v>
      </c>
      <c r="J127" s="211">
        <f t="shared" si="61"/>
        <v>15.802468332536385</v>
      </c>
      <c r="K127" s="307">
        <f t="shared" si="62"/>
        <v>2.9311247563124244E-2</v>
      </c>
      <c r="M127" s="211"/>
      <c r="N127" s="88">
        <v>204</v>
      </c>
      <c r="O127" s="274" t="s">
        <v>546</v>
      </c>
      <c r="P127" s="302">
        <f>VLOOKUP($N127,INPUT!$AB$9:$AF$161,3,FALSE)</f>
        <v>15.12</v>
      </c>
      <c r="Q127" s="302">
        <f>VLOOKUP($N127,INPUT!$AB$9:$AF$161,4,FALSE)</f>
        <v>15.57</v>
      </c>
      <c r="R127" s="198">
        <f>VLOOKUP($N127,INPUT!$AB$9:$AF$161,5,FALSE)</f>
        <v>0.46200000000000002</v>
      </c>
      <c r="S127" s="196">
        <f>($R127*INPUT!$P$60)*INPUT!$G$63</f>
        <v>-9.7593159708218108E-2</v>
      </c>
      <c r="T127" s="196">
        <f>($R127*INPUT!$P$60)*INPUT!$I$63</f>
        <v>0.3300614922446039</v>
      </c>
      <c r="U127" s="197">
        <f t="shared" si="63"/>
        <v>15.352468332536386</v>
      </c>
      <c r="V127" s="197">
        <f t="shared" si="64"/>
        <v>15.802468332536385</v>
      </c>
    </row>
    <row r="128" spans="1:22" ht="15.75" thickBot="1" x14ac:dyDescent="0.25">
      <c r="A128" s="229" t="s">
        <v>547</v>
      </c>
      <c r="B128" s="402">
        <f t="shared" si="53"/>
        <v>1.18</v>
      </c>
      <c r="C128" s="210">
        <f t="shared" si="54"/>
        <v>30.57</v>
      </c>
      <c r="D128" s="210">
        <f t="shared" si="55"/>
        <v>31.48</v>
      </c>
      <c r="E128" s="211">
        <f t="shared" si="56"/>
        <v>0.91000000000000014</v>
      </c>
      <c r="F128" s="307">
        <f t="shared" si="57"/>
        <v>2.890724269377383E-2</v>
      </c>
      <c r="G128" s="211">
        <f t="shared" si="58"/>
        <v>-0.2492639144062713</v>
      </c>
      <c r="H128" s="211">
        <f t="shared" si="59"/>
        <v>0.84301420097106605</v>
      </c>
      <c r="I128" s="210">
        <f t="shared" si="60"/>
        <v>31.163750286564795</v>
      </c>
      <c r="J128" s="211">
        <f t="shared" si="61"/>
        <v>32.073750286564795</v>
      </c>
      <c r="K128" s="307">
        <f t="shared" si="62"/>
        <v>2.9200593369929424E-2</v>
      </c>
      <c r="M128" s="211"/>
      <c r="N128" s="88">
        <v>209</v>
      </c>
      <c r="O128" s="274" t="s">
        <v>551</v>
      </c>
      <c r="P128" s="302">
        <f>VLOOKUP($N128,INPUT!$AB$9:$AF$161,3,FALSE)</f>
        <v>30.57</v>
      </c>
      <c r="Q128" s="302">
        <f>VLOOKUP($N128,INPUT!$AB$9:$AF$161,4,FALSE)</f>
        <v>31.48</v>
      </c>
      <c r="R128" s="198">
        <f>VLOOKUP($N128,INPUT!$AB$9:$AF$161,5,FALSE)</f>
        <v>1.18</v>
      </c>
      <c r="S128" s="196">
        <f>($R128*INPUT!$P$60)*INPUT!$G$63</f>
        <v>-0.2492639144062713</v>
      </c>
      <c r="T128" s="196">
        <f>($R128*INPUT!$P$60)*INPUT!$I$63</f>
        <v>0.84301420097106605</v>
      </c>
      <c r="U128" s="197">
        <f t="shared" si="63"/>
        <v>31.163750286564795</v>
      </c>
      <c r="V128" s="197">
        <f t="shared" si="64"/>
        <v>32.073750286564795</v>
      </c>
    </row>
    <row r="129" spans="1:22" ht="15.75" thickBot="1" x14ac:dyDescent="0.25">
      <c r="A129" s="229" t="s">
        <v>548</v>
      </c>
      <c r="B129" s="402">
        <f t="shared" si="53"/>
        <v>0.46200000000000002</v>
      </c>
      <c r="C129" s="210">
        <f t="shared" si="54"/>
        <v>17.190000000000001</v>
      </c>
      <c r="D129" s="210">
        <f t="shared" si="55"/>
        <v>17.7</v>
      </c>
      <c r="E129" s="211">
        <f t="shared" si="56"/>
        <v>0.50999999999999801</v>
      </c>
      <c r="F129" s="307">
        <f t="shared" si="57"/>
        <v>2.8813559322033788E-2</v>
      </c>
      <c r="G129" s="211">
        <f t="shared" si="58"/>
        <v>-9.7593159708218108E-2</v>
      </c>
      <c r="H129" s="211">
        <f t="shared" si="59"/>
        <v>0.3300614922446039</v>
      </c>
      <c r="I129" s="210">
        <f t="shared" si="60"/>
        <v>17.422468332536386</v>
      </c>
      <c r="J129" s="211">
        <f t="shared" si="61"/>
        <v>17.932468332536384</v>
      </c>
      <c r="K129" s="307">
        <f t="shared" si="62"/>
        <v>2.9272545672967311E-2</v>
      </c>
      <c r="M129" s="211"/>
      <c r="N129" s="88">
        <v>207</v>
      </c>
      <c r="O129" s="274" t="s">
        <v>548</v>
      </c>
      <c r="P129" s="302">
        <f>VLOOKUP($N129,INPUT!$AB$9:$AF$161,3,FALSE)</f>
        <v>17.190000000000001</v>
      </c>
      <c r="Q129" s="302">
        <f>VLOOKUP($N129,INPUT!$AB$9:$AF$161,4,FALSE)</f>
        <v>17.7</v>
      </c>
      <c r="R129" s="198">
        <f>VLOOKUP($N129,INPUT!$AB$9:$AF$161,5,FALSE)</f>
        <v>0.46200000000000002</v>
      </c>
      <c r="S129" s="196">
        <f>($R129*INPUT!$P$60)*INPUT!$G$63</f>
        <v>-9.7593159708218108E-2</v>
      </c>
      <c r="T129" s="196">
        <f>($R129*INPUT!$P$60)*INPUT!$I$63</f>
        <v>0.3300614922446039</v>
      </c>
      <c r="U129" s="197">
        <f t="shared" si="63"/>
        <v>17.422468332536386</v>
      </c>
      <c r="V129" s="197">
        <f t="shared" si="64"/>
        <v>17.932468332536384</v>
      </c>
    </row>
    <row r="130" spans="1:22" ht="15.75" thickBot="1" x14ac:dyDescent="0.25">
      <c r="A130" s="199" t="s">
        <v>549</v>
      </c>
      <c r="B130" s="402">
        <f t="shared" si="53"/>
        <v>1.18</v>
      </c>
      <c r="C130" s="210">
        <f t="shared" si="54"/>
        <v>31.8</v>
      </c>
      <c r="D130" s="210">
        <f t="shared" si="55"/>
        <v>32.74</v>
      </c>
      <c r="E130" s="211">
        <f t="shared" si="56"/>
        <v>0.94000000000000128</v>
      </c>
      <c r="F130" s="307">
        <f t="shared" si="57"/>
        <v>2.8711056811240112E-2</v>
      </c>
      <c r="G130" s="211">
        <f t="shared" si="58"/>
        <v>-0.2492639144062713</v>
      </c>
      <c r="H130" s="211">
        <f t="shared" si="59"/>
        <v>0.84301420097106605</v>
      </c>
      <c r="I130" s="210">
        <f t="shared" si="60"/>
        <v>32.393750286564796</v>
      </c>
      <c r="J130" s="211">
        <f t="shared" si="61"/>
        <v>33.333750286564801</v>
      </c>
      <c r="K130" s="307">
        <f t="shared" si="62"/>
        <v>2.9017943019393679E-2</v>
      </c>
      <c r="M130" s="211"/>
      <c r="N130" s="88">
        <v>210</v>
      </c>
      <c r="O130" s="274" t="s">
        <v>549</v>
      </c>
      <c r="P130" s="302">
        <f>VLOOKUP($N130,INPUT!$AB$9:$AF$161,3,FALSE)</f>
        <v>31.8</v>
      </c>
      <c r="Q130" s="302">
        <f>VLOOKUP($N130,INPUT!$AB$9:$AF$161,4,FALSE)</f>
        <v>32.74</v>
      </c>
      <c r="R130" s="198">
        <f>VLOOKUP($N130,INPUT!$AB$9:$AF$161,5,FALSE)</f>
        <v>1.18</v>
      </c>
      <c r="S130" s="196">
        <f>($R130*INPUT!$P$60)*INPUT!$G$63</f>
        <v>-0.2492639144062713</v>
      </c>
      <c r="T130" s="196">
        <f>($R130*INPUT!$P$60)*INPUT!$I$63</f>
        <v>0.84301420097106605</v>
      </c>
      <c r="U130" s="197">
        <f t="shared" si="63"/>
        <v>32.393750286564796</v>
      </c>
      <c r="V130" s="197">
        <f t="shared" si="64"/>
        <v>33.333750286564801</v>
      </c>
    </row>
    <row r="131" spans="1:22" ht="15.75" thickBot="1" x14ac:dyDescent="0.25">
      <c r="A131" s="199" t="s">
        <v>550</v>
      </c>
      <c r="B131" s="402">
        <f t="shared" si="53"/>
        <v>0.1</v>
      </c>
      <c r="C131" s="210">
        <f t="shared" si="54"/>
        <v>9.43</v>
      </c>
      <c r="D131" s="210">
        <f t="shared" si="55"/>
        <v>9.7100000000000009</v>
      </c>
      <c r="E131" s="211">
        <f t="shared" si="56"/>
        <v>0.28000000000000114</v>
      </c>
      <c r="F131" s="307">
        <f t="shared" si="57"/>
        <v>2.8836251287332762E-2</v>
      </c>
      <c r="G131" s="211">
        <f t="shared" si="58"/>
        <v>-2.1124060542904353E-2</v>
      </c>
      <c r="H131" s="211">
        <f t="shared" si="59"/>
        <v>7.1441881438225954E-2</v>
      </c>
      <c r="I131" s="210">
        <f t="shared" si="60"/>
        <v>9.4803178208953209</v>
      </c>
      <c r="J131" s="211">
        <f t="shared" si="61"/>
        <v>9.7603178208953221</v>
      </c>
      <c r="K131" s="307">
        <f t="shared" si="62"/>
        <v>2.9534874810089221E-2</v>
      </c>
      <c r="M131" s="211"/>
      <c r="N131" s="88">
        <v>201</v>
      </c>
      <c r="O131" s="274" t="s">
        <v>550</v>
      </c>
      <c r="P131" s="302">
        <f>VLOOKUP($N131,INPUT!$AB$9:$AF$161,3,FALSE)</f>
        <v>9.43</v>
      </c>
      <c r="Q131" s="302">
        <f>VLOOKUP($N131,INPUT!$AB$9:$AF$161,4,FALSE)</f>
        <v>9.7100000000000009</v>
      </c>
      <c r="R131" s="198">
        <f>VLOOKUP($N131,INPUT!$AB$9:$AF$161,5,FALSE)</f>
        <v>0.1</v>
      </c>
      <c r="S131" s="196">
        <f>($R131*INPUT!$P$60)*INPUT!$G$63</f>
        <v>-2.1124060542904353E-2</v>
      </c>
      <c r="T131" s="196">
        <f>($R131*INPUT!$P$60)*INPUT!$I$63</f>
        <v>7.1441881438225954E-2</v>
      </c>
      <c r="U131" s="197">
        <f t="shared" si="63"/>
        <v>9.4803178208953209</v>
      </c>
      <c r="V131" s="197">
        <f t="shared" si="64"/>
        <v>9.7603178208953221</v>
      </c>
    </row>
    <row r="132" spans="1:22" ht="13.5" customHeight="1" thickBot="1" x14ac:dyDescent="0.25">
      <c r="A132" s="199"/>
      <c r="B132" s="206"/>
      <c r="C132" s="210"/>
      <c r="D132" s="211"/>
      <c r="E132" s="211"/>
      <c r="F132" s="310"/>
      <c r="G132" s="212"/>
      <c r="H132" s="212"/>
      <c r="I132" s="212"/>
      <c r="J132" s="212"/>
      <c r="K132" s="307"/>
      <c r="M132" s="211"/>
      <c r="N132" s="88" t="s">
        <v>138</v>
      </c>
      <c r="O132" s="396"/>
      <c r="P132" s="397"/>
      <c r="Q132" s="397"/>
      <c r="R132" s="198"/>
      <c r="S132" s="196"/>
      <c r="T132" s="196"/>
      <c r="U132" s="197"/>
      <c r="V132" s="197"/>
    </row>
    <row r="133" spans="1:22" ht="15.75" thickBot="1" x14ac:dyDescent="0.25">
      <c r="A133" s="192" t="s">
        <v>91</v>
      </c>
      <c r="B133" s="208"/>
      <c r="C133" s="210"/>
      <c r="D133" s="211"/>
      <c r="E133" s="211"/>
      <c r="F133" s="310"/>
      <c r="G133" s="211"/>
      <c r="H133" s="211"/>
      <c r="I133" s="211"/>
      <c r="J133" s="211"/>
      <c r="K133" s="307"/>
      <c r="M133" s="211"/>
      <c r="O133" s="274" t="s">
        <v>91</v>
      </c>
      <c r="P133" s="302"/>
      <c r="Q133" s="303"/>
      <c r="R133" s="198"/>
      <c r="S133" s="196"/>
      <c r="T133" s="196"/>
      <c r="U133" s="197"/>
      <c r="V133" s="197"/>
    </row>
    <row r="134" spans="1:22" ht="15.75" thickBot="1" x14ac:dyDescent="0.25">
      <c r="A134" s="199" t="s">
        <v>135</v>
      </c>
      <c r="B134" s="402">
        <f t="shared" ref="B134:B140" si="65">+R134</f>
        <v>0.15</v>
      </c>
      <c r="C134" s="210">
        <f t="shared" ref="C134:C140" si="66">P134</f>
        <v>14.5</v>
      </c>
      <c r="D134" s="210">
        <f t="shared" ref="D134:D140" si="67">Q134</f>
        <v>14.93</v>
      </c>
      <c r="E134" s="211">
        <f t="shared" ref="E134:E140" si="68">+D134-C134</f>
        <v>0.42999999999999972</v>
      </c>
      <c r="F134" s="307">
        <f t="shared" ref="F134:F140" si="69">+E134/D134</f>
        <v>2.8801071667782969E-2</v>
      </c>
      <c r="G134" s="211">
        <f t="shared" ref="G134:G140" si="70">+S134</f>
        <v>-3.168609081435652E-2</v>
      </c>
      <c r="H134" s="211">
        <f t="shared" ref="H134:H140" si="71">+T134</f>
        <v>0.10716282215733891</v>
      </c>
      <c r="I134" s="210">
        <f t="shared" ref="I134:I140" si="72">U134</f>
        <v>14.575476731342983</v>
      </c>
      <c r="J134" s="211">
        <f t="shared" ref="J134:J140" si="73">+D134+G134+H134</f>
        <v>15.005476731342982</v>
      </c>
      <c r="K134" s="307">
        <f t="shared" ref="K134:K140" si="74">(J134-I134)/I134</f>
        <v>2.9501607935425628E-2</v>
      </c>
      <c r="M134" s="211"/>
      <c r="N134" s="88">
        <v>470</v>
      </c>
      <c r="O134" s="274" t="s">
        <v>135</v>
      </c>
      <c r="P134" s="302">
        <f>VLOOKUP($N134,INPUT!$AB$9:$AF$161,3,FALSE)</f>
        <v>14.5</v>
      </c>
      <c r="Q134" s="302">
        <f>VLOOKUP($N134,INPUT!$AB$9:$AF$161,4,FALSE)</f>
        <v>14.93</v>
      </c>
      <c r="R134" s="198">
        <f>VLOOKUP($N134,INPUT!$AB$9:$AF$161,5,FALSE)</f>
        <v>0.15</v>
      </c>
      <c r="S134" s="196">
        <f>($R134*INPUT!$P$60)*INPUT!$G$63</f>
        <v>-3.168609081435652E-2</v>
      </c>
      <c r="T134" s="196">
        <f>($R134*INPUT!$P$60)*INPUT!$I$63</f>
        <v>0.10716282215733891</v>
      </c>
      <c r="U134" s="197">
        <f t="shared" ref="U134:U140" si="75">+P134+S134+T134</f>
        <v>14.575476731342983</v>
      </c>
      <c r="V134" s="197">
        <f t="shared" ref="V134:V140" si="76">+Q134+S134+T134</f>
        <v>15.005476731342982</v>
      </c>
    </row>
    <row r="135" spans="1:22" ht="15.75" thickBot="1" x14ac:dyDescent="0.25">
      <c r="A135" s="199" t="s">
        <v>171</v>
      </c>
      <c r="B135" s="402">
        <f t="shared" si="65"/>
        <v>0.15</v>
      </c>
      <c r="C135" s="210">
        <f t="shared" si="66"/>
        <v>17.170000000000002</v>
      </c>
      <c r="D135" s="210">
        <f t="shared" si="67"/>
        <v>17.68</v>
      </c>
      <c r="E135" s="211">
        <f t="shared" si="68"/>
        <v>0.50999999999999801</v>
      </c>
      <c r="F135" s="307">
        <f t="shared" si="69"/>
        <v>2.8846153846153733E-2</v>
      </c>
      <c r="G135" s="211">
        <f t="shared" si="70"/>
        <v>-3.168609081435652E-2</v>
      </c>
      <c r="H135" s="211">
        <f t="shared" si="71"/>
        <v>0.10716282215733891</v>
      </c>
      <c r="I135" s="210">
        <f t="shared" si="72"/>
        <v>17.245476731342983</v>
      </c>
      <c r="J135" s="211">
        <f t="shared" si="73"/>
        <v>17.755476731342981</v>
      </c>
      <c r="K135" s="307">
        <f t="shared" si="74"/>
        <v>2.9572971970852673E-2</v>
      </c>
      <c r="M135" s="211"/>
      <c r="N135" s="88">
        <v>471</v>
      </c>
      <c r="O135" s="274" t="s">
        <v>171</v>
      </c>
      <c r="P135" s="302">
        <f>VLOOKUP($N135,INPUT!$AB$9:$AF$161,3,FALSE)</f>
        <v>17.170000000000002</v>
      </c>
      <c r="Q135" s="302">
        <f>VLOOKUP($N135,INPUT!$AB$9:$AF$161,4,FALSE)</f>
        <v>17.68</v>
      </c>
      <c r="R135" s="198">
        <f>VLOOKUP($N135,INPUT!$AB$9:$AF$161,5,FALSE)</f>
        <v>0.15</v>
      </c>
      <c r="S135" s="196">
        <f>($R135*INPUT!$P$60)*INPUT!$G$63</f>
        <v>-3.168609081435652E-2</v>
      </c>
      <c r="T135" s="196">
        <f>($R135*INPUT!$P$60)*INPUT!$I$63</f>
        <v>0.10716282215733891</v>
      </c>
      <c r="U135" s="197">
        <f t="shared" si="75"/>
        <v>17.245476731342983</v>
      </c>
      <c r="V135" s="197">
        <f t="shared" si="76"/>
        <v>17.755476731342981</v>
      </c>
    </row>
    <row r="136" spans="1:22" ht="15.75" thickBot="1" x14ac:dyDescent="0.25">
      <c r="A136" s="199" t="s">
        <v>172</v>
      </c>
      <c r="B136" s="402">
        <f t="shared" si="65"/>
        <v>0.35</v>
      </c>
      <c r="C136" s="210">
        <f t="shared" si="66"/>
        <v>22.94</v>
      </c>
      <c r="D136" s="210">
        <f t="shared" si="67"/>
        <v>23.62</v>
      </c>
      <c r="E136" s="211">
        <f t="shared" si="68"/>
        <v>0.67999999999999972</v>
      </c>
      <c r="F136" s="307">
        <f t="shared" si="69"/>
        <v>2.8789161727349692E-2</v>
      </c>
      <c r="G136" s="211">
        <f t="shared" si="70"/>
        <v>-7.3934211900165206E-2</v>
      </c>
      <c r="H136" s="211">
        <f t="shared" si="71"/>
        <v>0.25004658503379079</v>
      </c>
      <c r="I136" s="210">
        <f t="shared" si="72"/>
        <v>23.116112373133625</v>
      </c>
      <c r="J136" s="211">
        <f t="shared" si="73"/>
        <v>23.796112373133624</v>
      </c>
      <c r="K136" s="307">
        <f t="shared" si="74"/>
        <v>2.9416711124415545E-2</v>
      </c>
      <c r="M136" s="211"/>
      <c r="N136" s="88">
        <v>474</v>
      </c>
      <c r="O136" s="274" t="s">
        <v>172</v>
      </c>
      <c r="P136" s="302">
        <f>VLOOKUP($N136,INPUT!$AB$9:$AF$161,3,FALSE)</f>
        <v>22.94</v>
      </c>
      <c r="Q136" s="302">
        <f>VLOOKUP($N136,INPUT!$AB$9:$AF$161,4,FALSE)</f>
        <v>23.62</v>
      </c>
      <c r="R136" s="198">
        <f>VLOOKUP($N136,INPUT!$AB$9:$AF$161,5,FALSE)</f>
        <v>0.35</v>
      </c>
      <c r="S136" s="196">
        <f>($R136*INPUT!$P$60)*INPUT!$G$63</f>
        <v>-7.3934211900165206E-2</v>
      </c>
      <c r="T136" s="196">
        <f>($R136*INPUT!$P$60)*INPUT!$I$63</f>
        <v>0.25004658503379079</v>
      </c>
      <c r="U136" s="197">
        <f t="shared" si="75"/>
        <v>23.116112373133625</v>
      </c>
      <c r="V136" s="197">
        <f t="shared" si="76"/>
        <v>23.796112373133624</v>
      </c>
    </row>
    <row r="137" spans="1:22" ht="15.75" thickBot="1" x14ac:dyDescent="0.25">
      <c r="A137" s="199" t="s">
        <v>173</v>
      </c>
      <c r="B137" s="402">
        <f t="shared" si="65"/>
        <v>0.35</v>
      </c>
      <c r="C137" s="210">
        <f t="shared" si="66"/>
        <v>30.4</v>
      </c>
      <c r="D137" s="210">
        <f t="shared" si="67"/>
        <v>31.3</v>
      </c>
      <c r="E137" s="211">
        <f t="shared" si="68"/>
        <v>0.90000000000000213</v>
      </c>
      <c r="F137" s="307">
        <f t="shared" si="69"/>
        <v>2.875399361022371E-2</v>
      </c>
      <c r="G137" s="211">
        <f t="shared" si="70"/>
        <v>-7.3934211900165206E-2</v>
      </c>
      <c r="H137" s="211">
        <f t="shared" si="71"/>
        <v>0.25004658503379079</v>
      </c>
      <c r="I137" s="210">
        <f t="shared" si="72"/>
        <v>30.576112373133622</v>
      </c>
      <c r="J137" s="211">
        <f t="shared" si="73"/>
        <v>31.476112373133624</v>
      </c>
      <c r="K137" s="307">
        <f t="shared" si="74"/>
        <v>2.9434742684645777E-2</v>
      </c>
      <c r="M137" s="211"/>
      <c r="N137" s="88">
        <v>475</v>
      </c>
      <c r="O137" s="274" t="s">
        <v>173</v>
      </c>
      <c r="P137" s="302">
        <f>VLOOKUP($N137,INPUT!$AB$9:$AF$161,3,FALSE)</f>
        <v>30.4</v>
      </c>
      <c r="Q137" s="302">
        <f>VLOOKUP($N137,INPUT!$AB$9:$AF$161,4,FALSE)</f>
        <v>31.3</v>
      </c>
      <c r="R137" s="198">
        <f>VLOOKUP($N137,INPUT!$AB$9:$AF$161,5,FALSE)</f>
        <v>0.35</v>
      </c>
      <c r="S137" s="196">
        <f>($R137*INPUT!$P$60)*INPUT!$G$63</f>
        <v>-7.3934211900165206E-2</v>
      </c>
      <c r="T137" s="196">
        <f>($R137*INPUT!$P$60)*INPUT!$I$63</f>
        <v>0.25004658503379079</v>
      </c>
      <c r="U137" s="197">
        <f t="shared" si="75"/>
        <v>30.576112373133622</v>
      </c>
      <c r="V137" s="197">
        <f t="shared" si="76"/>
        <v>31.476112373133624</v>
      </c>
    </row>
    <row r="138" spans="1:22" ht="15.75" thickBot="1" x14ac:dyDescent="0.25">
      <c r="A138" s="199" t="s">
        <v>137</v>
      </c>
      <c r="B138" s="402">
        <f t="shared" si="65"/>
        <v>1.08</v>
      </c>
      <c r="C138" s="210">
        <f t="shared" si="66"/>
        <v>43.23</v>
      </c>
      <c r="D138" s="210">
        <f t="shared" si="67"/>
        <v>44.51</v>
      </c>
      <c r="E138" s="211">
        <f t="shared" si="68"/>
        <v>1.2800000000000011</v>
      </c>
      <c r="F138" s="307">
        <f t="shared" si="69"/>
        <v>2.8757582565715596E-2</v>
      </c>
      <c r="G138" s="211">
        <f t="shared" si="70"/>
        <v>-0.22813985386336699</v>
      </c>
      <c r="H138" s="211">
        <f t="shared" si="71"/>
        <v>0.77157231953284033</v>
      </c>
      <c r="I138" s="210">
        <f t="shared" si="72"/>
        <v>43.773432465669472</v>
      </c>
      <c r="J138" s="211">
        <f t="shared" si="73"/>
        <v>45.053432465669474</v>
      </c>
      <c r="K138" s="307">
        <f t="shared" si="74"/>
        <v>2.9241481142788531E-2</v>
      </c>
      <c r="M138" s="211"/>
      <c r="N138" s="88">
        <v>476</v>
      </c>
      <c r="O138" s="274" t="s">
        <v>137</v>
      </c>
      <c r="P138" s="302">
        <f>VLOOKUP($N138,INPUT!$AB$9:$AF$161,3,FALSE)</f>
        <v>43.23</v>
      </c>
      <c r="Q138" s="302">
        <f>VLOOKUP($N138,INPUT!$AB$9:$AF$161,4,FALSE)</f>
        <v>44.51</v>
      </c>
      <c r="R138" s="198">
        <f>VLOOKUP($N138,INPUT!$AB$9:$AF$161,5,FALSE)</f>
        <v>1.08</v>
      </c>
      <c r="S138" s="196">
        <f>($R138*INPUT!$P$60)*INPUT!$G$63</f>
        <v>-0.22813985386336699</v>
      </c>
      <c r="T138" s="196">
        <f>($R138*INPUT!$P$60)*INPUT!$I$63</f>
        <v>0.77157231953284033</v>
      </c>
      <c r="U138" s="197">
        <f t="shared" si="75"/>
        <v>43.773432465669472</v>
      </c>
      <c r="V138" s="197">
        <f t="shared" si="76"/>
        <v>45.053432465669474</v>
      </c>
    </row>
    <row r="139" spans="1:22" ht="15.75" thickBot="1" x14ac:dyDescent="0.25">
      <c r="A139" s="229" t="s">
        <v>336</v>
      </c>
      <c r="B139" s="402">
        <f t="shared" si="65"/>
        <v>1.08</v>
      </c>
      <c r="C139" s="210">
        <f t="shared" si="66"/>
        <v>46.42</v>
      </c>
      <c r="D139" s="210">
        <f t="shared" si="67"/>
        <v>47.8</v>
      </c>
      <c r="E139" s="211">
        <f t="shared" si="68"/>
        <v>1.3799999999999955</v>
      </c>
      <c r="F139" s="307">
        <f t="shared" si="69"/>
        <v>2.8870292887029195E-2</v>
      </c>
      <c r="G139" s="211">
        <f t="shared" si="70"/>
        <v>-0.22813985386336699</v>
      </c>
      <c r="H139" s="211">
        <f t="shared" si="71"/>
        <v>0.77157231953284033</v>
      </c>
      <c r="I139" s="210">
        <f t="shared" si="72"/>
        <v>46.963432465669477</v>
      </c>
      <c r="J139" s="211">
        <f t="shared" si="73"/>
        <v>48.343432465669473</v>
      </c>
      <c r="K139" s="307">
        <f t="shared" si="74"/>
        <v>2.9384564277936519E-2</v>
      </c>
      <c r="M139" s="211"/>
      <c r="N139" s="88">
        <v>477</v>
      </c>
      <c r="O139" s="274" t="s">
        <v>336</v>
      </c>
      <c r="P139" s="302">
        <f>VLOOKUP($N139,INPUT!$AB$9:$AF$161,3,FALSE)</f>
        <v>46.42</v>
      </c>
      <c r="Q139" s="302">
        <f>VLOOKUP($N139,INPUT!$AB$9:$AF$161,4,FALSE)</f>
        <v>47.8</v>
      </c>
      <c r="R139" s="198">
        <f>VLOOKUP($N139,INPUT!$AB$9:$AF$161,5,FALSE)</f>
        <v>1.08</v>
      </c>
      <c r="S139" s="196">
        <f>($R139*INPUT!$P$60)*INPUT!$G$63</f>
        <v>-0.22813985386336699</v>
      </c>
      <c r="T139" s="196">
        <f>($R139*INPUT!$P$60)*INPUT!$I$63</f>
        <v>0.77157231953284033</v>
      </c>
      <c r="U139" s="197">
        <f t="shared" si="75"/>
        <v>46.963432465669477</v>
      </c>
      <c r="V139" s="197">
        <f t="shared" si="76"/>
        <v>48.343432465669473</v>
      </c>
    </row>
    <row r="140" spans="1:22" ht="15.75" thickBot="1" x14ac:dyDescent="0.25">
      <c r="A140" s="199" t="s">
        <v>465</v>
      </c>
      <c r="B140" s="402">
        <f t="shared" si="65"/>
        <v>0.35</v>
      </c>
      <c r="C140" s="210">
        <f t="shared" si="66"/>
        <v>20.65</v>
      </c>
      <c r="D140" s="210">
        <f t="shared" si="67"/>
        <v>21.26</v>
      </c>
      <c r="E140" s="211">
        <f t="shared" si="68"/>
        <v>0.61000000000000298</v>
      </c>
      <c r="F140" s="307">
        <f t="shared" si="69"/>
        <v>2.8692380056444165E-2</v>
      </c>
      <c r="G140" s="211">
        <f t="shared" si="70"/>
        <v>-7.3934211900165206E-2</v>
      </c>
      <c r="H140" s="211">
        <f t="shared" si="71"/>
        <v>0.25004658503379079</v>
      </c>
      <c r="I140" s="210">
        <f t="shared" si="72"/>
        <v>20.826112373133622</v>
      </c>
      <c r="J140" s="211">
        <f t="shared" si="73"/>
        <v>21.436112373133625</v>
      </c>
      <c r="K140" s="307">
        <f t="shared" si="74"/>
        <v>2.9290152145098541E-2</v>
      </c>
      <c r="M140" s="211"/>
      <c r="N140" s="88">
        <v>473</v>
      </c>
      <c r="O140" s="274" t="s">
        <v>136</v>
      </c>
      <c r="P140" s="302">
        <f>VLOOKUP($N140,INPUT!$AB$9:$AF$161,3,FALSE)</f>
        <v>20.65</v>
      </c>
      <c r="Q140" s="302">
        <f>VLOOKUP($N140,INPUT!$AB$9:$AF$161,4,FALSE)</f>
        <v>21.26</v>
      </c>
      <c r="R140" s="198">
        <f>VLOOKUP($N140,INPUT!$AB$9:$AF$161,5,FALSE)</f>
        <v>0.35</v>
      </c>
      <c r="S140" s="196">
        <f>($R140*INPUT!$P$60)*INPUT!$G$63</f>
        <v>-7.3934211900165206E-2</v>
      </c>
      <c r="T140" s="196">
        <f>($R140*INPUT!$P$60)*INPUT!$I$63</f>
        <v>0.25004658503379079</v>
      </c>
      <c r="U140" s="197">
        <f t="shared" si="75"/>
        <v>20.826112373133622</v>
      </c>
      <c r="V140" s="197">
        <f t="shared" si="76"/>
        <v>21.436112373133625</v>
      </c>
    </row>
    <row r="141" spans="1:22" ht="10.5" customHeight="1" x14ac:dyDescent="0.2">
      <c r="A141" s="199"/>
      <c r="B141" s="206"/>
      <c r="C141" s="210"/>
      <c r="D141" s="211"/>
      <c r="E141" s="211"/>
      <c r="F141" s="194"/>
      <c r="G141" s="211"/>
      <c r="H141" s="211"/>
      <c r="I141" s="211"/>
      <c r="J141" s="211"/>
      <c r="K141" s="195"/>
      <c r="N141" s="88" t="s">
        <v>138</v>
      </c>
      <c r="O141"/>
      <c r="P141"/>
      <c r="Q141"/>
      <c r="R141" s="198"/>
      <c r="S141" s="196"/>
      <c r="T141" s="196"/>
      <c r="U141" s="197"/>
      <c r="V141" s="197"/>
    </row>
    <row r="142" spans="1:22" x14ac:dyDescent="0.2">
      <c r="A142" s="175" t="s">
        <v>314</v>
      </c>
    </row>
    <row r="143" spans="1:22" x14ac:dyDescent="0.2">
      <c r="A143" s="172" t="s">
        <v>328</v>
      </c>
    </row>
    <row r="144" spans="1:22" x14ac:dyDescent="0.2">
      <c r="A144" s="172" t="str">
        <f>+'Rate Case Constants'!$C$26</f>
        <v>Calculations may vary from other schedules due to rounding</v>
      </c>
    </row>
    <row r="145" spans="1:22" x14ac:dyDescent="0.2">
      <c r="A145" s="172" t="s">
        <v>377</v>
      </c>
    </row>
    <row r="146" spans="1:22" ht="15" customHeight="1" x14ac:dyDescent="0.2">
      <c r="A146" s="441" t="str">
        <f>+A1</f>
        <v>LOUISVILLE GAS AND ELECTRIC COMPANY</v>
      </c>
      <c r="B146" s="441"/>
      <c r="C146" s="441"/>
      <c r="D146" s="441"/>
      <c r="E146" s="441"/>
      <c r="F146" s="441"/>
      <c r="G146" s="441"/>
      <c r="H146" s="441"/>
      <c r="I146" s="441"/>
      <c r="J146" s="441"/>
      <c r="K146" s="441"/>
      <c r="O146" s="221"/>
      <c r="P146" s="203"/>
      <c r="Q146" s="203"/>
      <c r="R146" s="198"/>
      <c r="S146" s="196"/>
      <c r="T146" s="196"/>
      <c r="U146" s="197"/>
      <c r="V146" s="197"/>
    </row>
    <row r="147" spans="1:22" ht="15" customHeight="1" x14ac:dyDescent="0.2">
      <c r="A147" s="441" t="str">
        <f>+A2</f>
        <v>CASE NO. 2018-00295</v>
      </c>
      <c r="B147" s="441"/>
      <c r="C147" s="441"/>
      <c r="D147" s="441"/>
      <c r="E147" s="441"/>
      <c r="F147" s="441"/>
      <c r="G147" s="441"/>
      <c r="H147" s="441"/>
      <c r="I147" s="441"/>
      <c r="J147" s="441"/>
      <c r="K147" s="441"/>
      <c r="O147" s="221"/>
      <c r="P147" s="203"/>
      <c r="Q147" s="203"/>
      <c r="R147" s="198"/>
      <c r="S147" s="196"/>
      <c r="T147" s="196"/>
      <c r="U147" s="197"/>
      <c r="V147" s="197"/>
    </row>
    <row r="148" spans="1:22" ht="15" customHeight="1" x14ac:dyDescent="0.2">
      <c r="A148" s="441" t="str">
        <f>+A3</f>
        <v>Typical Bill Comparison under Present &amp; Proposed Rates</v>
      </c>
      <c r="B148" s="441"/>
      <c r="C148" s="441"/>
      <c r="D148" s="441"/>
      <c r="E148" s="441"/>
      <c r="F148" s="441"/>
      <c r="G148" s="441"/>
      <c r="H148" s="441"/>
      <c r="I148" s="441"/>
      <c r="J148" s="441"/>
      <c r="K148" s="441"/>
      <c r="O148" s="221"/>
      <c r="P148" s="203"/>
      <c r="Q148" s="203"/>
      <c r="R148" s="198"/>
      <c r="S148" s="196"/>
      <c r="T148" s="196"/>
      <c r="U148" s="197"/>
      <c r="V148" s="197"/>
    </row>
    <row r="149" spans="1:22" ht="15" customHeight="1" x14ac:dyDescent="0.2">
      <c r="A149" s="441" t="str">
        <f>+A4</f>
        <v>FORECAST PERIOD FOR THE 12 MONTHS ENDED APRIL 30, 2020</v>
      </c>
      <c r="B149" s="441"/>
      <c r="C149" s="441"/>
      <c r="D149" s="441"/>
      <c r="E149" s="441"/>
      <c r="F149" s="441"/>
      <c r="G149" s="441"/>
      <c r="H149" s="441"/>
      <c r="I149" s="441"/>
      <c r="J149" s="441"/>
      <c r="K149" s="441"/>
      <c r="O149" s="221"/>
      <c r="P149" s="203"/>
      <c r="Q149" s="203"/>
      <c r="R149" s="198"/>
      <c r="S149" s="196"/>
      <c r="T149" s="196"/>
      <c r="U149" s="197"/>
      <c r="V149" s="197"/>
    </row>
    <row r="150" spans="1:22" ht="15" customHeight="1" x14ac:dyDescent="0.2">
      <c r="A150" s="190"/>
      <c r="B150" s="207"/>
      <c r="C150" s="272"/>
      <c r="D150" s="290"/>
      <c r="E150" s="290"/>
      <c r="F150" s="290"/>
      <c r="G150" s="291"/>
      <c r="H150" s="294"/>
      <c r="I150" s="294"/>
      <c r="J150" s="294"/>
      <c r="K150" s="291"/>
      <c r="O150" s="221"/>
      <c r="P150" s="203"/>
      <c r="Q150" s="203"/>
      <c r="R150" s="198"/>
      <c r="S150" s="196"/>
      <c r="T150" s="196"/>
      <c r="U150" s="197"/>
      <c r="V150" s="197"/>
    </row>
    <row r="151" spans="1:22" ht="15" customHeight="1" x14ac:dyDescent="0.2">
      <c r="A151" s="190" t="str">
        <f>+A6</f>
        <v>DATA: ____BASE PERIOD__X___FORECASTED PERIOD</v>
      </c>
      <c r="B151" s="190"/>
      <c r="C151" s="272"/>
      <c r="D151" s="290"/>
      <c r="E151" s="290"/>
      <c r="F151" s="290"/>
      <c r="G151" s="291"/>
      <c r="H151" s="294"/>
      <c r="I151" s="294"/>
      <c r="J151" s="294"/>
      <c r="K151" s="293" t="str">
        <f>+K6</f>
        <v>SCHEDULE N</v>
      </c>
      <c r="O151" s="221"/>
      <c r="P151" s="203"/>
      <c r="Q151" s="203"/>
      <c r="R151" s="198"/>
      <c r="S151" s="196"/>
      <c r="T151" s="196"/>
      <c r="U151" s="197"/>
      <c r="V151" s="197"/>
    </row>
    <row r="152" spans="1:22" ht="15" customHeight="1" x14ac:dyDescent="0.2">
      <c r="A152" s="190" t="str">
        <f>+A7</f>
        <v>TYPE OF FILING: __X__ ORIGINAL  _____ UPDATED  _____ REVISED</v>
      </c>
      <c r="B152" s="190"/>
      <c r="C152" s="272"/>
      <c r="D152" s="290"/>
      <c r="E152" s="290"/>
      <c r="F152" s="290"/>
      <c r="G152" s="291"/>
      <c r="H152" s="294"/>
      <c r="I152" s="294"/>
      <c r="J152" s="294"/>
      <c r="K152" s="293" t="str">
        <f>+'Rate Case Constants'!L25</f>
        <v>PAGE 18 of 26</v>
      </c>
      <c r="O152" s="221"/>
      <c r="P152" s="203"/>
      <c r="Q152" s="203"/>
      <c r="R152" s="198"/>
      <c r="S152" s="196"/>
      <c r="T152" s="196"/>
      <c r="U152" s="197"/>
      <c r="V152" s="197"/>
    </row>
    <row r="153" spans="1:22" ht="15" customHeight="1" x14ac:dyDescent="0.2">
      <c r="A153" s="190" t="str">
        <f>+A8</f>
        <v>WORKPAPER REFERENCE NO(S):________</v>
      </c>
      <c r="B153" s="190"/>
      <c r="C153" s="272"/>
      <c r="D153" s="290"/>
      <c r="E153" s="290"/>
      <c r="F153" s="290"/>
      <c r="G153" s="291"/>
      <c r="H153" s="294"/>
      <c r="I153" s="294"/>
      <c r="J153" s="294"/>
      <c r="K153" s="293" t="str">
        <f>+K8</f>
        <v>WITNESS:   R. M. CONROY</v>
      </c>
      <c r="O153" s="221"/>
      <c r="P153" s="203"/>
      <c r="Q153" s="203"/>
      <c r="R153" s="198"/>
      <c r="S153" s="196"/>
      <c r="T153" s="196"/>
      <c r="U153" s="197"/>
      <c r="V153" s="197"/>
    </row>
    <row r="154" spans="1:22" ht="12.75" customHeight="1" x14ac:dyDescent="0.2">
      <c r="A154" s="190"/>
      <c r="B154" s="190"/>
      <c r="C154" s="272"/>
      <c r="D154" s="290"/>
      <c r="E154" s="290"/>
      <c r="F154" s="290"/>
      <c r="G154" s="291"/>
      <c r="H154" s="294"/>
      <c r="I154" s="294"/>
      <c r="J154" s="294"/>
      <c r="K154" s="291"/>
      <c r="O154" s="221"/>
      <c r="P154" s="203"/>
      <c r="Q154" s="203"/>
      <c r="R154" s="198"/>
      <c r="S154" s="196"/>
      <c r="T154" s="196"/>
      <c r="U154" s="197"/>
      <c r="V154" s="197"/>
    </row>
    <row r="155" spans="1:22" ht="12.75" customHeight="1" x14ac:dyDescent="0.2">
      <c r="A155" s="230" t="s">
        <v>94</v>
      </c>
      <c r="B155" s="3" t="s">
        <v>304</v>
      </c>
      <c r="C155" s="26" t="s">
        <v>305</v>
      </c>
      <c r="D155" s="26" t="s">
        <v>306</v>
      </c>
      <c r="E155" s="3" t="s">
        <v>307</v>
      </c>
      <c r="F155" s="3" t="s">
        <v>308</v>
      </c>
      <c r="G155" s="26" t="s">
        <v>309</v>
      </c>
      <c r="H155" s="3" t="s">
        <v>310</v>
      </c>
      <c r="I155" s="3" t="s">
        <v>311</v>
      </c>
      <c r="J155" s="3" t="s">
        <v>312</v>
      </c>
      <c r="K155" s="3" t="s">
        <v>313</v>
      </c>
      <c r="O155" s="221"/>
      <c r="P155" s="203"/>
      <c r="Q155" s="203"/>
      <c r="R155" s="198"/>
      <c r="S155" s="196"/>
      <c r="T155" s="196"/>
      <c r="U155" s="197"/>
      <c r="V155" s="197"/>
    </row>
    <row r="156" spans="1:22" ht="12.75" customHeight="1" x14ac:dyDescent="0.2">
      <c r="A156" s="205"/>
      <c r="B156" s="41"/>
      <c r="C156" s="231" t="s">
        <v>339</v>
      </c>
      <c r="D156" s="231" t="s">
        <v>339</v>
      </c>
      <c r="E156"/>
      <c r="F156"/>
      <c r="G156" s="30"/>
      <c r="H156" s="30"/>
      <c r="I156" s="3" t="s">
        <v>5</v>
      </c>
      <c r="J156" s="3" t="s">
        <v>5</v>
      </c>
      <c r="K156"/>
      <c r="O156" s="221"/>
      <c r="P156" s="203"/>
      <c r="Q156" s="203"/>
      <c r="R156" s="198"/>
      <c r="S156" s="196"/>
      <c r="T156" s="196"/>
      <c r="U156" s="197"/>
      <c r="V156" s="197"/>
    </row>
    <row r="157" spans="1:22" ht="12.75" customHeight="1" x14ac:dyDescent="0.2">
      <c r="A157" s="205"/>
      <c r="B157" s="3" t="s">
        <v>327</v>
      </c>
      <c r="C157" s="3" t="s">
        <v>1</v>
      </c>
      <c r="D157" s="3" t="s">
        <v>73</v>
      </c>
      <c r="E157" s="3"/>
      <c r="F157" s="3"/>
      <c r="G157" s="440" t="s">
        <v>126</v>
      </c>
      <c r="H157" s="440"/>
      <c r="I157" s="3" t="s">
        <v>1</v>
      </c>
      <c r="J157" s="3" t="s">
        <v>73</v>
      </c>
      <c r="K157" s="3"/>
      <c r="O157" s="221"/>
      <c r="P157" s="203"/>
      <c r="Q157" s="203"/>
      <c r="R157" s="198"/>
      <c r="S157" s="196"/>
      <c r="T157" s="196"/>
      <c r="U157" s="197"/>
      <c r="V157" s="197"/>
    </row>
    <row r="158" spans="1:22" ht="12.75" customHeight="1" x14ac:dyDescent="0.2">
      <c r="A158" s="205"/>
      <c r="B158" s="3" t="s">
        <v>20</v>
      </c>
      <c r="C158" s="3" t="s">
        <v>4</v>
      </c>
      <c r="D158" s="3" t="s">
        <v>4</v>
      </c>
      <c r="E158" s="3" t="s">
        <v>74</v>
      </c>
      <c r="F158" s="3" t="s">
        <v>74</v>
      </c>
      <c r="G158" s="164" t="s">
        <v>376</v>
      </c>
      <c r="H158" s="51" t="s">
        <v>71</v>
      </c>
      <c r="I158" s="3" t="s">
        <v>4</v>
      </c>
      <c r="J158" s="3" t="s">
        <v>4</v>
      </c>
      <c r="K158" s="3" t="s">
        <v>74</v>
      </c>
      <c r="O158" s="221"/>
      <c r="P158" s="203"/>
      <c r="Q158" s="203"/>
      <c r="R158" s="198"/>
      <c r="S158" s="196"/>
      <c r="T158" s="196"/>
      <c r="U158" s="197"/>
      <c r="V158" s="197"/>
    </row>
    <row r="159" spans="1:22" ht="12.75" customHeight="1" x14ac:dyDescent="0.2">
      <c r="A159" s="205"/>
      <c r="B159" s="41"/>
      <c r="C159" s="3"/>
      <c r="D159" s="3"/>
      <c r="E159" s="3" t="s">
        <v>68</v>
      </c>
      <c r="F159" s="26" t="s">
        <v>69</v>
      </c>
      <c r="G159" s="50"/>
      <c r="H159" s="52"/>
      <c r="I159" s="3" t="s">
        <v>68</v>
      </c>
      <c r="J159" s="3" t="s">
        <v>68</v>
      </c>
      <c r="K159" s="26" t="s">
        <v>69</v>
      </c>
      <c r="O159" s="221"/>
      <c r="P159" s="203"/>
      <c r="Q159" s="203"/>
      <c r="R159" s="198"/>
      <c r="S159" s="196"/>
      <c r="T159" s="196"/>
      <c r="U159" s="197"/>
      <c r="V159" s="197"/>
    </row>
    <row r="160" spans="1:22" ht="12.75" customHeight="1" thickBot="1" x14ac:dyDescent="0.25">
      <c r="A160" s="263"/>
      <c r="B160" s="247"/>
      <c r="C160" s="270"/>
      <c r="D160" s="270"/>
      <c r="E160" s="270" t="str">
        <f>("[ "&amp;D155&amp;" - "&amp;C155&amp;" ]")</f>
        <v>[ C - B ]</v>
      </c>
      <c r="F160" s="270" t="str">
        <f>("[ "&amp;E155&amp;" / "&amp;C155&amp;" ]")</f>
        <v>[ D / B ]</v>
      </c>
      <c r="G160" s="262"/>
      <c r="H160" s="262"/>
      <c r="I160" s="270" t="str">
        <f>("["&amp;C155&amp;"+"&amp;$G$10&amp;"+"&amp;$H$10&amp;"]")</f>
        <v>[B+F+G]</v>
      </c>
      <c r="J160" s="270" t="str">
        <f>("["&amp;D155&amp;"+"&amp;$G$10&amp;"+"&amp;$H$10&amp;"]")</f>
        <v>[C+F+G]</v>
      </c>
      <c r="K160" s="270" t="str">
        <f>("[("&amp;J155&amp;" - "&amp;I155&amp;")"&amp;I155&amp;"]")</f>
        <v>[(I - H)H]</v>
      </c>
      <c r="O160" s="221"/>
      <c r="P160" s="203"/>
      <c r="Q160" s="203"/>
      <c r="R160" s="198"/>
      <c r="S160" s="196"/>
      <c r="T160" s="196"/>
      <c r="U160" s="197"/>
      <c r="V160" s="197"/>
    </row>
    <row r="161" spans="1:22" ht="15.75" thickBot="1" x14ac:dyDescent="0.25">
      <c r="A161" s="190" t="s">
        <v>89</v>
      </c>
      <c r="B161" s="207"/>
      <c r="C161" s="210"/>
      <c r="D161" s="211"/>
      <c r="E161" s="211"/>
      <c r="F161" s="194"/>
      <c r="G161" s="211"/>
      <c r="H161" s="211"/>
      <c r="I161" s="211"/>
      <c r="J161" s="211"/>
      <c r="K161" s="195"/>
      <c r="O161" s="274" t="s">
        <v>89</v>
      </c>
      <c r="P161" s="302"/>
      <c r="Q161" s="303"/>
      <c r="R161" s="198"/>
      <c r="S161" s="196"/>
      <c r="T161" s="196"/>
      <c r="U161" s="197"/>
      <c r="V161" s="197"/>
    </row>
    <row r="162" spans="1:22" ht="15.75" thickBot="1" x14ac:dyDescent="0.25">
      <c r="A162" s="192" t="s">
        <v>90</v>
      </c>
      <c r="B162" s="208"/>
      <c r="C162" s="210"/>
      <c r="D162" s="211"/>
      <c r="E162" s="211"/>
      <c r="F162" s="194"/>
      <c r="G162" s="211"/>
      <c r="H162" s="211"/>
      <c r="I162" s="211"/>
      <c r="J162" s="211"/>
      <c r="K162" s="195"/>
      <c r="O162" s="274" t="s">
        <v>90</v>
      </c>
      <c r="P162" s="302"/>
      <c r="Q162" s="303"/>
      <c r="R162" s="198"/>
      <c r="S162" s="196"/>
      <c r="T162" s="196"/>
      <c r="U162" s="197"/>
      <c r="V162" s="197"/>
    </row>
    <row r="163" spans="1:22" ht="15.75" customHeight="1" thickBot="1" x14ac:dyDescent="0.25">
      <c r="A163" s="199" t="s">
        <v>589</v>
      </c>
      <c r="B163" s="402">
        <f t="shared" ref="B163:B168" si="77">+R163</f>
        <v>0.18099999999999999</v>
      </c>
      <c r="C163" s="210">
        <f t="shared" ref="C163:C168" si="78">P163</f>
        <v>14.44</v>
      </c>
      <c r="D163" s="210">
        <f t="shared" ref="D163:D168" si="79">Q163</f>
        <v>14.87</v>
      </c>
      <c r="E163" s="211">
        <f t="shared" ref="E163:E168" si="80">+D163-C163</f>
        <v>0.42999999999999972</v>
      </c>
      <c r="F163" s="307">
        <f t="shared" ref="F163:F168" si="81">+E163/D163</f>
        <v>2.8917283120376579E-2</v>
      </c>
      <c r="G163" s="211">
        <f t="shared" ref="G163:G168" si="82">+S163</f>
        <v>-3.8234549582656874E-2</v>
      </c>
      <c r="H163" s="211">
        <f t="shared" ref="H163:H168" si="83">+T163</f>
        <v>0.12930980540318898</v>
      </c>
      <c r="I163" s="210">
        <f t="shared" ref="I163:I168" si="84">U163</f>
        <v>14.531075255820531</v>
      </c>
      <c r="J163" s="211">
        <f t="shared" ref="J163:J168" si="85">+D163+G163+H163</f>
        <v>14.96107525582053</v>
      </c>
      <c r="K163" s="307">
        <f t="shared" ref="K163:K168" si="86">(J163-I163)/I163</f>
        <v>2.9591753702311877E-2</v>
      </c>
      <c r="M163" s="211"/>
      <c r="N163" s="88">
        <v>452</v>
      </c>
      <c r="O163" s="419" t="s">
        <v>552</v>
      </c>
      <c r="P163" s="302">
        <f>VLOOKUP($N163,INPUT!$AB$9:$AF$161,3,FALSE)</f>
        <v>14.44</v>
      </c>
      <c r="Q163" s="302">
        <f>VLOOKUP($N163,INPUT!$AB$9:$AF$161,4,FALSE)</f>
        <v>14.87</v>
      </c>
      <c r="R163" s="198">
        <f>VLOOKUP($N163,INPUT!$AB$9:$AF$161,5,FALSE)</f>
        <v>0.18099999999999999</v>
      </c>
      <c r="S163" s="196">
        <f>($R163*INPUT!$P$60)*INPUT!$G$63</f>
        <v>-3.8234549582656874E-2</v>
      </c>
      <c r="T163" s="196">
        <f>($R163*INPUT!$P$60)*INPUT!$I$63</f>
        <v>0.12930980540318898</v>
      </c>
      <c r="U163" s="197">
        <f t="shared" ref="U163:U186" si="87">+P163+S163+T163</f>
        <v>14.531075255820531</v>
      </c>
      <c r="V163" s="197">
        <f t="shared" ref="V163:V186" si="88">+Q163+S163+T163</f>
        <v>14.96107525582053</v>
      </c>
    </row>
    <row r="164" spans="1:22" ht="15.75" customHeight="1" thickBot="1" x14ac:dyDescent="0.25">
      <c r="A164" s="199" t="s">
        <v>590</v>
      </c>
      <c r="B164" s="402">
        <f t="shared" si="77"/>
        <v>0.29399999999999998</v>
      </c>
      <c r="C164" s="210">
        <f t="shared" si="78"/>
        <v>16.850000000000001</v>
      </c>
      <c r="D164" s="210">
        <f t="shared" si="79"/>
        <v>17.350000000000001</v>
      </c>
      <c r="E164" s="211">
        <f t="shared" si="80"/>
        <v>0.5</v>
      </c>
      <c r="F164" s="307">
        <f t="shared" si="81"/>
        <v>2.8818443804034581E-2</v>
      </c>
      <c r="G164" s="211">
        <f t="shared" si="82"/>
        <v>-6.2104737996138783E-2</v>
      </c>
      <c r="H164" s="211">
        <f t="shared" si="83"/>
        <v>0.21003913142838426</v>
      </c>
      <c r="I164" s="210">
        <f t="shared" si="84"/>
        <v>16.997934393432246</v>
      </c>
      <c r="J164" s="211">
        <f t="shared" si="85"/>
        <v>17.497934393432246</v>
      </c>
      <c r="K164" s="307">
        <f t="shared" si="86"/>
        <v>2.9415338853948789E-2</v>
      </c>
      <c r="M164" s="211"/>
      <c r="N164" s="88">
        <v>453</v>
      </c>
      <c r="O164" s="419" t="s">
        <v>553</v>
      </c>
      <c r="P164" s="302">
        <f>VLOOKUP($N164,INPUT!$AB$9:$AF$161,3,FALSE)</f>
        <v>16.850000000000001</v>
      </c>
      <c r="Q164" s="302">
        <f>VLOOKUP($N164,INPUT!$AB$9:$AF$161,4,FALSE)</f>
        <v>17.350000000000001</v>
      </c>
      <c r="R164" s="198">
        <f>VLOOKUP($N164,INPUT!$AB$9:$AF$161,5,FALSE)</f>
        <v>0.29399999999999998</v>
      </c>
      <c r="S164" s="196">
        <f>($R164*INPUT!$P$60)*INPUT!$G$63</f>
        <v>-6.2104737996138783E-2</v>
      </c>
      <c r="T164" s="196">
        <f>($R164*INPUT!$P$60)*INPUT!$I$63</f>
        <v>0.21003913142838426</v>
      </c>
      <c r="U164" s="197">
        <f t="shared" si="87"/>
        <v>16.997934393432246</v>
      </c>
      <c r="V164" s="197">
        <f t="shared" si="88"/>
        <v>17.497934393432246</v>
      </c>
    </row>
    <row r="165" spans="1:22" ht="15.75" customHeight="1" thickBot="1" x14ac:dyDescent="0.25">
      <c r="A165" s="199" t="s">
        <v>591</v>
      </c>
      <c r="B165" s="402">
        <f t="shared" si="77"/>
        <v>0.47099999999999997</v>
      </c>
      <c r="C165" s="210">
        <f t="shared" si="78"/>
        <v>19.2</v>
      </c>
      <c r="D165" s="210">
        <f t="shared" si="79"/>
        <v>19.77</v>
      </c>
      <c r="E165" s="211">
        <f t="shared" si="80"/>
        <v>0.57000000000000028</v>
      </c>
      <c r="F165" s="307">
        <f t="shared" si="81"/>
        <v>2.8831562974203355E-2</v>
      </c>
      <c r="G165" s="211">
        <f t="shared" si="82"/>
        <v>-9.9494325157079483E-2</v>
      </c>
      <c r="H165" s="211">
        <f t="shared" si="83"/>
        <v>0.33649126157404419</v>
      </c>
      <c r="I165" s="210">
        <f t="shared" si="84"/>
        <v>19.436996936416964</v>
      </c>
      <c r="J165" s="211">
        <f t="shared" si="85"/>
        <v>20.006996936416964</v>
      </c>
      <c r="K165" s="307">
        <f t="shared" si="86"/>
        <v>2.9325517818653044E-2</v>
      </c>
      <c r="M165" s="211"/>
      <c r="N165" s="88">
        <v>454</v>
      </c>
      <c r="O165" s="274" t="s">
        <v>554</v>
      </c>
      <c r="P165" s="302">
        <f>VLOOKUP($N165,INPUT!$AB$9:$AF$161,3,FALSE)</f>
        <v>19.2</v>
      </c>
      <c r="Q165" s="302">
        <f>VLOOKUP($N165,INPUT!$AB$9:$AF$161,4,FALSE)</f>
        <v>19.77</v>
      </c>
      <c r="R165" s="198">
        <f>VLOOKUP($N165,INPUT!$AB$9:$AF$161,5,FALSE)</f>
        <v>0.47099999999999997</v>
      </c>
      <c r="S165" s="196">
        <f>($R165*INPUT!$P$60)*INPUT!$G$63</f>
        <v>-9.9494325157079483E-2</v>
      </c>
      <c r="T165" s="196">
        <f>($R165*INPUT!$P$60)*INPUT!$I$63</f>
        <v>0.33649126157404419</v>
      </c>
      <c r="U165" s="197">
        <f t="shared" si="87"/>
        <v>19.436996936416964</v>
      </c>
      <c r="V165" s="197">
        <f t="shared" si="88"/>
        <v>20.006996936416964</v>
      </c>
    </row>
    <row r="166" spans="1:22" ht="15.75" customHeight="1" thickBot="1" x14ac:dyDescent="0.25">
      <c r="A166" s="199" t="s">
        <v>592</v>
      </c>
      <c r="B166" s="402">
        <f t="shared" si="77"/>
        <v>0.18099999999999999</v>
      </c>
      <c r="C166" s="210">
        <f t="shared" si="78"/>
        <v>15.39</v>
      </c>
      <c r="D166" s="210">
        <f t="shared" si="79"/>
        <v>15.85</v>
      </c>
      <c r="E166" s="211">
        <f t="shared" si="80"/>
        <v>0.45999999999999908</v>
      </c>
      <c r="F166" s="307">
        <f t="shared" si="81"/>
        <v>2.9022082018927389E-2</v>
      </c>
      <c r="G166" s="211">
        <f t="shared" si="82"/>
        <v>-3.8234549582656874E-2</v>
      </c>
      <c r="H166" s="211">
        <f t="shared" si="83"/>
        <v>0.12930980540318898</v>
      </c>
      <c r="I166" s="210">
        <f t="shared" si="84"/>
        <v>15.481075255820532</v>
      </c>
      <c r="J166" s="211">
        <f t="shared" si="85"/>
        <v>15.941075255820531</v>
      </c>
      <c r="K166" s="307">
        <f t="shared" si="86"/>
        <v>2.9713698331583886E-2</v>
      </c>
      <c r="M166" s="211"/>
      <c r="N166" s="88">
        <v>455</v>
      </c>
      <c r="O166" s="274" t="s">
        <v>555</v>
      </c>
      <c r="P166" s="302">
        <f>VLOOKUP($N166,INPUT!$AB$9:$AF$161,3,FALSE)</f>
        <v>15.39</v>
      </c>
      <c r="Q166" s="302">
        <f>VLOOKUP($N166,INPUT!$AB$9:$AF$161,4,FALSE)</f>
        <v>15.85</v>
      </c>
      <c r="R166" s="198">
        <f>VLOOKUP($N166,INPUT!$AB$9:$AF$161,5,FALSE)</f>
        <v>0.18099999999999999</v>
      </c>
      <c r="S166" s="196">
        <f>($R166*INPUT!$P$60)*INPUT!$G$63</f>
        <v>-3.8234549582656874E-2</v>
      </c>
      <c r="T166" s="196">
        <f>($R166*INPUT!$P$60)*INPUT!$I$63</f>
        <v>0.12930980540318898</v>
      </c>
      <c r="U166" s="197">
        <f t="shared" si="87"/>
        <v>15.481075255820532</v>
      </c>
      <c r="V166" s="197">
        <f t="shared" si="88"/>
        <v>15.941075255820531</v>
      </c>
    </row>
    <row r="167" spans="1:22" ht="15.75" customHeight="1" thickBot="1" x14ac:dyDescent="0.25">
      <c r="A167" s="199" t="s">
        <v>593</v>
      </c>
      <c r="B167" s="402">
        <f t="shared" si="77"/>
        <v>0.47099999999999997</v>
      </c>
      <c r="C167" s="210">
        <f t="shared" si="78"/>
        <v>20.03</v>
      </c>
      <c r="D167" s="210">
        <f t="shared" si="79"/>
        <v>20.62</v>
      </c>
      <c r="E167" s="211">
        <f t="shared" si="80"/>
        <v>0.58999999999999986</v>
      </c>
      <c r="F167" s="307">
        <f t="shared" si="81"/>
        <v>2.8612997090203679E-2</v>
      </c>
      <c r="G167" s="211">
        <f t="shared" si="82"/>
        <v>-9.9494325157079483E-2</v>
      </c>
      <c r="H167" s="211">
        <f t="shared" si="83"/>
        <v>0.33649126157404419</v>
      </c>
      <c r="I167" s="210">
        <f t="shared" si="84"/>
        <v>20.266996936416966</v>
      </c>
      <c r="J167" s="211">
        <f t="shared" si="85"/>
        <v>20.856996936416966</v>
      </c>
      <c r="K167" s="307">
        <f t="shared" si="86"/>
        <v>2.9111367700453548E-2</v>
      </c>
      <c r="M167" s="211"/>
      <c r="N167" s="88">
        <v>456</v>
      </c>
      <c r="O167" s="274" t="s">
        <v>556</v>
      </c>
      <c r="P167" s="302">
        <f>VLOOKUP($N167,INPUT!$AB$9:$AF$161,3,FALSE)</f>
        <v>20.03</v>
      </c>
      <c r="Q167" s="302">
        <f>VLOOKUP($N167,INPUT!$AB$9:$AF$161,4,FALSE)</f>
        <v>20.62</v>
      </c>
      <c r="R167" s="198">
        <f>VLOOKUP($N167,INPUT!$AB$9:$AF$161,5,FALSE)</f>
        <v>0.47099999999999997</v>
      </c>
      <c r="S167" s="196">
        <f>($R167*INPUT!$P$60)*INPUT!$G$63</f>
        <v>-9.9494325157079483E-2</v>
      </c>
      <c r="T167" s="196">
        <f>($R167*INPUT!$P$60)*INPUT!$I$63</f>
        <v>0.33649126157404419</v>
      </c>
      <c r="U167" s="197">
        <f t="shared" si="87"/>
        <v>20.266996936416966</v>
      </c>
      <c r="V167" s="197">
        <f t="shared" si="88"/>
        <v>20.856996936416966</v>
      </c>
    </row>
    <row r="168" spans="1:22" ht="15.75" customHeight="1" thickBot="1" x14ac:dyDescent="0.25">
      <c r="A168" s="199" t="s">
        <v>594</v>
      </c>
      <c r="B168" s="402">
        <f t="shared" si="77"/>
        <v>0.11700000000000001</v>
      </c>
      <c r="C168" s="210">
        <f t="shared" si="78"/>
        <v>12.78</v>
      </c>
      <c r="D168" s="210">
        <f t="shared" si="79"/>
        <v>13.16</v>
      </c>
      <c r="E168" s="211">
        <f t="shared" si="80"/>
        <v>0.38000000000000078</v>
      </c>
      <c r="F168" s="307">
        <f t="shared" si="81"/>
        <v>2.8875379939209786E-2</v>
      </c>
      <c r="G168" s="211">
        <f t="shared" si="82"/>
        <v>-2.4715150835198093E-2</v>
      </c>
      <c r="H168" s="211">
        <f t="shared" si="83"/>
        <v>8.3587001282724366E-2</v>
      </c>
      <c r="I168" s="210">
        <f t="shared" si="84"/>
        <v>12.838871850447527</v>
      </c>
      <c r="J168" s="211">
        <f t="shared" si="85"/>
        <v>13.218871850447528</v>
      </c>
      <c r="K168" s="307">
        <f t="shared" si="86"/>
        <v>2.9597616085462762E-2</v>
      </c>
      <c r="M168" s="211"/>
      <c r="N168" s="88">
        <v>457</v>
      </c>
      <c r="O168" s="274" t="s">
        <v>557</v>
      </c>
      <c r="P168" s="302">
        <f>VLOOKUP($N168,INPUT!$AB$9:$AF$161,3,FALSE)</f>
        <v>12.78</v>
      </c>
      <c r="Q168" s="302">
        <f>VLOOKUP($N168,INPUT!$AB$9:$AF$161,4,FALSE)</f>
        <v>13.16</v>
      </c>
      <c r="R168" s="198">
        <f>VLOOKUP($N168,INPUT!$AB$9:$AF$161,5,FALSE)</f>
        <v>0.11700000000000001</v>
      </c>
      <c r="S168" s="196">
        <f>($R168*INPUT!$P$60)*INPUT!$G$63</f>
        <v>-2.4715150835198093E-2</v>
      </c>
      <c r="T168" s="196">
        <f>($R168*INPUT!$P$60)*INPUT!$I$63</f>
        <v>8.3587001282724366E-2</v>
      </c>
      <c r="U168" s="197">
        <f t="shared" si="87"/>
        <v>12.838871850447527</v>
      </c>
      <c r="V168" s="197">
        <f t="shared" si="88"/>
        <v>13.218871850447528</v>
      </c>
    </row>
    <row r="169" spans="1:22" ht="15.75" customHeight="1" thickBot="1" x14ac:dyDescent="0.25">
      <c r="A169" s="199" t="s">
        <v>595</v>
      </c>
      <c r="B169" s="402">
        <f t="shared" ref="B169" si="89">+R169</f>
        <v>0.18099999999999999</v>
      </c>
      <c r="C169" s="210">
        <f t="shared" ref="C169" si="90">P169</f>
        <v>27.64</v>
      </c>
      <c r="D169" s="210">
        <f t="shared" ref="D169" si="91">Q169</f>
        <v>28.46</v>
      </c>
      <c r="E169" s="211">
        <f t="shared" ref="E169" si="92">+D169-C169</f>
        <v>0.82000000000000028</v>
      </c>
      <c r="F169" s="307">
        <f t="shared" ref="F169" si="93">+E169/D169</f>
        <v>2.8812368236120881E-2</v>
      </c>
      <c r="G169" s="211">
        <f t="shared" ref="G169" si="94">+S169</f>
        <v>-3.8234549582656874E-2</v>
      </c>
      <c r="H169" s="211">
        <f t="shared" ref="H169" si="95">+T169</f>
        <v>0.12930980540318898</v>
      </c>
      <c r="I169" s="210">
        <f t="shared" ref="I169" si="96">U169</f>
        <v>27.731075255820532</v>
      </c>
      <c r="J169" s="211">
        <f t="shared" ref="J169" si="97">+D169+G169+H169</f>
        <v>28.551075255820532</v>
      </c>
      <c r="K169" s="307">
        <f t="shared" ref="K169" si="98">(J169-I169)/I169</f>
        <v>2.9569715289993626E-2</v>
      </c>
      <c r="M169" s="211"/>
      <c r="N169" s="88">
        <v>275</v>
      </c>
      <c r="O169" s="274" t="s">
        <v>558</v>
      </c>
      <c r="P169" s="302">
        <f>VLOOKUP($N169,INPUT!$AB$9:$AF$161,3,FALSE)</f>
        <v>27.64</v>
      </c>
      <c r="Q169" s="302">
        <f>VLOOKUP($N169,INPUT!$AB$9:$AF$161,4,FALSE)</f>
        <v>28.46</v>
      </c>
      <c r="R169" s="198">
        <f>VLOOKUP($N169,INPUT!$AB$9:$AF$161,5,FALSE)</f>
        <v>0.18099999999999999</v>
      </c>
      <c r="S169" s="196">
        <f>($R169*INPUT!$P$60)*INPUT!$G$63</f>
        <v>-3.8234549582656874E-2</v>
      </c>
      <c r="T169" s="196">
        <f>($R169*INPUT!$P$60)*INPUT!$I$63</f>
        <v>0.12930980540318898</v>
      </c>
      <c r="U169" s="197">
        <f t="shared" si="87"/>
        <v>27.731075255820532</v>
      </c>
      <c r="V169" s="197">
        <f t="shared" si="88"/>
        <v>28.551075255820532</v>
      </c>
    </row>
    <row r="170" spans="1:22" ht="15.75" customHeight="1" thickBot="1" x14ac:dyDescent="0.25">
      <c r="A170" s="199" t="s">
        <v>596</v>
      </c>
      <c r="B170" s="402">
        <f t="shared" ref="B170" si="99">+R170</f>
        <v>0.29399999999999998</v>
      </c>
      <c r="C170" s="210">
        <f t="shared" ref="C170" si="100">P170</f>
        <v>30.35</v>
      </c>
      <c r="D170" s="210">
        <f t="shared" ref="D170" si="101">Q170</f>
        <v>31.25</v>
      </c>
      <c r="E170" s="211">
        <f t="shared" ref="E170" si="102">+D170-C170</f>
        <v>0.89999999999999858</v>
      </c>
      <c r="F170" s="307">
        <f t="shared" ref="F170" si="103">+E170/D170</f>
        <v>2.8799999999999954E-2</v>
      </c>
      <c r="G170" s="211">
        <f t="shared" ref="G170" si="104">+S170</f>
        <v>-6.2104737996138783E-2</v>
      </c>
      <c r="H170" s="211">
        <f t="shared" ref="H170" si="105">+T170</f>
        <v>0.21003913142838426</v>
      </c>
      <c r="I170" s="210">
        <f t="shared" ref="I170" si="106">U170</f>
        <v>30.497934393432246</v>
      </c>
      <c r="J170" s="211">
        <f t="shared" ref="J170" si="107">+D170+G170+H170</f>
        <v>31.397934393432244</v>
      </c>
      <c r="K170" s="307">
        <f t="shared" ref="K170" si="108">(J170-I170)/I170</f>
        <v>2.9510195293547956E-2</v>
      </c>
      <c r="M170" s="211"/>
      <c r="N170" s="88">
        <v>266</v>
      </c>
      <c r="O170" s="274" t="s">
        <v>559</v>
      </c>
      <c r="P170" s="302">
        <f>VLOOKUP($N170,INPUT!$AB$9:$AF$161,3,FALSE)</f>
        <v>30.35</v>
      </c>
      <c r="Q170" s="302">
        <f>VLOOKUP($N170,INPUT!$AB$9:$AF$161,4,FALSE)</f>
        <v>31.25</v>
      </c>
      <c r="R170" s="198">
        <f>VLOOKUP($N170,INPUT!$AB$9:$AF$161,5,FALSE)</f>
        <v>0.29399999999999998</v>
      </c>
      <c r="S170" s="196">
        <f>($R170*INPUT!$P$60)*INPUT!$G$63</f>
        <v>-6.2104737996138783E-2</v>
      </c>
      <c r="T170" s="196">
        <f>($R170*INPUT!$P$60)*INPUT!$I$63</f>
        <v>0.21003913142838426</v>
      </c>
      <c r="U170" s="197">
        <f t="shared" si="87"/>
        <v>30.497934393432246</v>
      </c>
      <c r="V170" s="197">
        <f t="shared" si="88"/>
        <v>31.397934393432244</v>
      </c>
    </row>
    <row r="171" spans="1:22" ht="15.75" customHeight="1" thickBot="1" x14ac:dyDescent="0.25">
      <c r="A171" s="199" t="s">
        <v>597</v>
      </c>
      <c r="B171" s="402">
        <f t="shared" ref="B171" si="109">+R171</f>
        <v>0.47099999999999997</v>
      </c>
      <c r="C171" s="210">
        <f t="shared" ref="C171" si="110">P171</f>
        <v>34.64</v>
      </c>
      <c r="D171" s="210">
        <f t="shared" ref="D171" si="111">Q171</f>
        <v>35.67</v>
      </c>
      <c r="E171" s="211">
        <f t="shared" ref="E171" si="112">+D171-C171</f>
        <v>1.0300000000000011</v>
      </c>
      <c r="F171" s="307">
        <f t="shared" ref="F171" si="113">+E171/D171</f>
        <v>2.8875805999439334E-2</v>
      </c>
      <c r="G171" s="211">
        <f t="shared" ref="G171" si="114">+S171</f>
        <v>-9.9494325157079483E-2</v>
      </c>
      <c r="H171" s="211">
        <f t="shared" ref="H171" si="115">+T171</f>
        <v>0.33649126157404419</v>
      </c>
      <c r="I171" s="210">
        <f t="shared" ref="I171" si="116">U171</f>
        <v>34.876996936416965</v>
      </c>
      <c r="J171" s="211">
        <f t="shared" ref="J171" si="117">+D171+G171+H171</f>
        <v>35.906996936416967</v>
      </c>
      <c r="K171" s="307">
        <f t="shared" ref="K171" si="118">(J171-I171)/I171</f>
        <v>2.9532359161477065E-2</v>
      </c>
      <c r="M171" s="211"/>
      <c r="N171" s="88">
        <v>267</v>
      </c>
      <c r="O171" s="274" t="s">
        <v>560</v>
      </c>
      <c r="P171" s="302">
        <f>VLOOKUP($N171,INPUT!$AB$9:$AF$161,3,FALSE)</f>
        <v>34.64</v>
      </c>
      <c r="Q171" s="302">
        <f>VLOOKUP($N171,INPUT!$AB$9:$AF$161,4,FALSE)</f>
        <v>35.67</v>
      </c>
      <c r="R171" s="198">
        <f>VLOOKUP($N171,INPUT!$AB$9:$AF$161,5,FALSE)</f>
        <v>0.47099999999999997</v>
      </c>
      <c r="S171" s="196">
        <f>($R171*INPUT!$P$60)*INPUT!$G$63</f>
        <v>-9.9494325157079483E-2</v>
      </c>
      <c r="T171" s="196">
        <f>($R171*INPUT!$P$60)*INPUT!$I$63</f>
        <v>0.33649126157404419</v>
      </c>
      <c r="U171" s="197">
        <f t="shared" si="87"/>
        <v>34.876996936416965</v>
      </c>
      <c r="V171" s="197">
        <f t="shared" si="88"/>
        <v>35.906996936416967</v>
      </c>
    </row>
    <row r="172" spans="1:22" ht="15.75" customHeight="1" thickBot="1" x14ac:dyDescent="0.25">
      <c r="A172" s="199" t="s">
        <v>598</v>
      </c>
      <c r="B172" s="402">
        <f t="shared" ref="B172" si="119">+R172</f>
        <v>8.3000000000000004E-2</v>
      </c>
      <c r="C172" s="210">
        <f t="shared" ref="C172" si="120">P172</f>
        <v>16.690000000000001</v>
      </c>
      <c r="D172" s="210">
        <f t="shared" ref="D172" si="121">Q172</f>
        <v>17.190000000000001</v>
      </c>
      <c r="E172" s="211">
        <f t="shared" ref="E172" si="122">+D172-C172</f>
        <v>0.5</v>
      </c>
      <c r="F172" s="307">
        <f t="shared" ref="F172" si="123">+E172/D172</f>
        <v>2.9086678301337984E-2</v>
      </c>
      <c r="G172" s="211">
        <f t="shared" ref="G172" si="124">+S172</f>
        <v>-1.7532970250610611E-2</v>
      </c>
      <c r="H172" s="211">
        <f t="shared" ref="H172" si="125">+T172</f>
        <v>5.9296761593727536E-2</v>
      </c>
      <c r="I172" s="210">
        <f t="shared" ref="I172" si="126">U172</f>
        <v>16.73176379134312</v>
      </c>
      <c r="J172" s="211">
        <f t="shared" ref="J172" si="127">+D172+G172+H172</f>
        <v>17.23176379134312</v>
      </c>
      <c r="K172" s="307">
        <f t="shared" ref="K172" si="128">(J172-I172)/I172</f>
        <v>2.9883281059627197E-2</v>
      </c>
      <c r="M172" s="211"/>
      <c r="N172" s="88">
        <v>276</v>
      </c>
      <c r="O172" s="274" t="s">
        <v>561</v>
      </c>
      <c r="P172" s="302">
        <f>VLOOKUP($N172,INPUT!$AB$9:$AF$161,3,FALSE)</f>
        <v>16.690000000000001</v>
      </c>
      <c r="Q172" s="302">
        <f>VLOOKUP($N172,INPUT!$AB$9:$AF$161,4,FALSE)</f>
        <v>17.190000000000001</v>
      </c>
      <c r="R172" s="198">
        <f>VLOOKUP($N172,INPUT!$AB$9:$AF$161,5,FALSE)</f>
        <v>8.3000000000000004E-2</v>
      </c>
      <c r="S172" s="196">
        <f>($R172*INPUT!$P$60)*INPUT!$G$63</f>
        <v>-1.7532970250610611E-2</v>
      </c>
      <c r="T172" s="196">
        <f>($R172*INPUT!$P$60)*INPUT!$I$63</f>
        <v>5.9296761593727536E-2</v>
      </c>
      <c r="U172" s="197">
        <f t="shared" si="87"/>
        <v>16.73176379134312</v>
      </c>
      <c r="V172" s="197">
        <f t="shared" si="88"/>
        <v>17.23176379134312</v>
      </c>
    </row>
    <row r="173" spans="1:22" ht="15.75" customHeight="1" thickBot="1" x14ac:dyDescent="0.25">
      <c r="A173" s="199" t="s">
        <v>542</v>
      </c>
      <c r="B173" s="402">
        <f t="shared" ref="B173" si="129">+R173</f>
        <v>0.11700000000000001</v>
      </c>
      <c r="C173" s="210">
        <f t="shared" ref="C173" si="130">P173</f>
        <v>19.899999999999999</v>
      </c>
      <c r="D173" s="210">
        <f t="shared" ref="D173" si="131">Q173</f>
        <v>20.49</v>
      </c>
      <c r="E173" s="211">
        <f t="shared" ref="E173" si="132">+D173-C173</f>
        <v>0.58999999999999986</v>
      </c>
      <c r="F173" s="307">
        <f t="shared" ref="F173" si="133">+E173/D173</f>
        <v>2.8794533918984865E-2</v>
      </c>
      <c r="G173" s="211">
        <f t="shared" ref="G173" si="134">+S173</f>
        <v>-2.4715150835198093E-2</v>
      </c>
      <c r="H173" s="211">
        <f t="shared" ref="H173" si="135">+T173</f>
        <v>8.3587001282724366E-2</v>
      </c>
      <c r="I173" s="210">
        <f t="shared" ref="I173" si="136">U173</f>
        <v>19.958871850447522</v>
      </c>
      <c r="J173" s="211">
        <f t="shared" ref="J173" si="137">+D173+G173+H173</f>
        <v>20.548871850447522</v>
      </c>
      <c r="K173" s="307">
        <f t="shared" ref="K173" si="138">(J173-I173)/I173</f>
        <v>2.9560789027600815E-2</v>
      </c>
      <c r="M173" s="211"/>
      <c r="N173" s="88">
        <v>274</v>
      </c>
      <c r="O173" s="274" t="s">
        <v>540</v>
      </c>
      <c r="P173" s="302">
        <f>VLOOKUP($N173,INPUT!$AB$9:$AF$161,3,FALSE)</f>
        <v>19.899999999999999</v>
      </c>
      <c r="Q173" s="302">
        <f>VLOOKUP($N173,INPUT!$AB$9:$AF$161,4,FALSE)</f>
        <v>20.49</v>
      </c>
      <c r="R173" s="198">
        <f>VLOOKUP($N173,INPUT!$AB$9:$AF$161,5,FALSE)</f>
        <v>0.11700000000000001</v>
      </c>
      <c r="S173" s="196">
        <f>($R173*INPUT!$P$60)*INPUT!$G$63</f>
        <v>-2.4715150835198093E-2</v>
      </c>
      <c r="T173" s="196">
        <f>($R173*INPUT!$P$60)*INPUT!$I$63</f>
        <v>8.3587001282724366E-2</v>
      </c>
      <c r="U173" s="197">
        <f t="shared" si="87"/>
        <v>19.958871850447522</v>
      </c>
      <c r="V173" s="197">
        <f t="shared" si="88"/>
        <v>20.548871850447522</v>
      </c>
    </row>
    <row r="174" spans="1:22" ht="15.75" customHeight="1" thickBot="1" x14ac:dyDescent="0.25">
      <c r="A174" s="199" t="s">
        <v>543</v>
      </c>
      <c r="B174" s="402">
        <f t="shared" ref="B174:B175" si="139">+R174</f>
        <v>0.18099999999999999</v>
      </c>
      <c r="C174" s="210">
        <f t="shared" ref="C174:C175" si="140">P174</f>
        <v>24.34</v>
      </c>
      <c r="D174" s="210">
        <f t="shared" ref="D174:D175" si="141">Q174</f>
        <v>25.06</v>
      </c>
      <c r="E174" s="211">
        <f t="shared" ref="E174:E175" si="142">+D174-C174</f>
        <v>0.71999999999999886</v>
      </c>
      <c r="F174" s="307">
        <f t="shared" ref="F174:F175" si="143">+E174/D174</f>
        <v>2.8731045490821984E-2</v>
      </c>
      <c r="G174" s="211">
        <f t="shared" ref="G174:G175" si="144">+S174</f>
        <v>-3.8234549582656874E-2</v>
      </c>
      <c r="H174" s="211">
        <f t="shared" ref="H174:H175" si="145">+T174</f>
        <v>0.12930980540318898</v>
      </c>
      <c r="I174" s="210">
        <f t="shared" ref="I174:I175" si="146">U174</f>
        <v>24.431075255820531</v>
      </c>
      <c r="J174" s="211">
        <f t="shared" ref="J174:J175" si="147">+D174+G174+H174</f>
        <v>25.15107525582053</v>
      </c>
      <c r="K174" s="307">
        <f t="shared" ref="K174:K175" si="148">(J174-I174)/I174</f>
        <v>2.947066358974372E-2</v>
      </c>
      <c r="M174" s="211"/>
      <c r="N174" s="88">
        <v>277</v>
      </c>
      <c r="O174" s="274" t="s">
        <v>541</v>
      </c>
      <c r="P174" s="302">
        <f>VLOOKUP($N174,INPUT!$AB$9:$AF$161,3,FALSE)</f>
        <v>24.34</v>
      </c>
      <c r="Q174" s="302">
        <f>VLOOKUP($N174,INPUT!$AB$9:$AF$161,4,FALSE)</f>
        <v>25.06</v>
      </c>
      <c r="R174" s="198">
        <f>VLOOKUP($N174,INPUT!$AB$9:$AF$161,5,FALSE)</f>
        <v>0.18099999999999999</v>
      </c>
      <c r="S174" s="196">
        <f>($R174*INPUT!$P$60)*INPUT!$G$63</f>
        <v>-3.8234549582656874E-2</v>
      </c>
      <c r="T174" s="196">
        <f>($R174*INPUT!$P$60)*INPUT!$I$63</f>
        <v>0.12930980540318898</v>
      </c>
      <c r="U174" s="197">
        <f t="shared" si="87"/>
        <v>24.431075255820531</v>
      </c>
      <c r="V174" s="197">
        <f t="shared" si="88"/>
        <v>25.15107525582053</v>
      </c>
    </row>
    <row r="175" spans="1:22" ht="15.75" customHeight="1" thickBot="1" x14ac:dyDescent="0.25">
      <c r="A175" s="199" t="s">
        <v>562</v>
      </c>
      <c r="B175" s="402">
        <f t="shared" si="139"/>
        <v>1</v>
      </c>
      <c r="C175" s="210">
        <f t="shared" si="140"/>
        <v>47.45</v>
      </c>
      <c r="D175" s="210">
        <f t="shared" si="141"/>
        <v>48.86</v>
      </c>
      <c r="E175" s="211">
        <f t="shared" si="142"/>
        <v>1.4099999999999966</v>
      </c>
      <c r="F175" s="307">
        <f t="shared" si="143"/>
        <v>2.8857961522717902E-2</v>
      </c>
      <c r="G175" s="211">
        <f t="shared" si="144"/>
        <v>-0.21124060542904349</v>
      </c>
      <c r="H175" s="211">
        <f t="shared" si="145"/>
        <v>0.7144188143822594</v>
      </c>
      <c r="I175" s="210">
        <f t="shared" si="146"/>
        <v>47.953178208953219</v>
      </c>
      <c r="J175" s="211">
        <f t="shared" si="147"/>
        <v>49.363178208953215</v>
      </c>
      <c r="K175" s="307">
        <f t="shared" si="148"/>
        <v>2.9403681938577723E-2</v>
      </c>
      <c r="M175" s="211"/>
      <c r="N175" s="88">
        <v>279</v>
      </c>
      <c r="O175" s="274" t="s">
        <v>562</v>
      </c>
      <c r="P175" s="302">
        <f>VLOOKUP($N175,INPUT!$AB$9:$AF$161,3,FALSE)</f>
        <v>47.45</v>
      </c>
      <c r="Q175" s="302">
        <f>VLOOKUP($N175,INPUT!$AB$9:$AF$161,4,FALSE)</f>
        <v>48.86</v>
      </c>
      <c r="R175" s="198">
        <f>VLOOKUP($N175,INPUT!$AB$9:$AF$161,5,FALSE)</f>
        <v>1</v>
      </c>
      <c r="S175" s="196">
        <f>($R175*INPUT!$P$60)*INPUT!$G$63</f>
        <v>-0.21124060542904349</v>
      </c>
      <c r="T175" s="196">
        <f>($R175*INPUT!$P$60)*INPUT!$I$63</f>
        <v>0.7144188143822594</v>
      </c>
      <c r="U175" s="197">
        <f t="shared" si="87"/>
        <v>47.953178208953219</v>
      </c>
      <c r="V175" s="197">
        <f t="shared" si="88"/>
        <v>49.363178208953215</v>
      </c>
    </row>
    <row r="176" spans="1:22" ht="15.75" customHeight="1" thickBot="1" x14ac:dyDescent="0.25">
      <c r="A176" s="199" t="s">
        <v>599</v>
      </c>
      <c r="B176" s="402">
        <f t="shared" ref="B176:B186" si="149">+R176</f>
        <v>1</v>
      </c>
      <c r="C176" s="210">
        <f t="shared" ref="C176:C186" si="150">P176</f>
        <v>78.58</v>
      </c>
      <c r="D176" s="210">
        <f t="shared" ref="D176:D186" si="151">Q176</f>
        <v>80.91</v>
      </c>
      <c r="E176" s="211">
        <f t="shared" ref="E176:E186" si="152">+D176-C176</f>
        <v>2.3299999999999983</v>
      </c>
      <c r="F176" s="307">
        <f t="shared" ref="F176:F186" si="153">+E176/D176</f>
        <v>2.8797429242368042E-2</v>
      </c>
      <c r="G176" s="211">
        <f t="shared" ref="G176:G186" si="154">+S176</f>
        <v>-0.21124060542904349</v>
      </c>
      <c r="H176" s="211">
        <f t="shared" ref="H176:H186" si="155">+T176</f>
        <v>0.7144188143822594</v>
      </c>
      <c r="I176" s="210">
        <f t="shared" ref="I176:I186" si="156">U176</f>
        <v>79.083178208953214</v>
      </c>
      <c r="J176" s="211">
        <f t="shared" ref="J176:J186" si="157">+D176+G176+H176</f>
        <v>81.413178208953212</v>
      </c>
      <c r="K176" s="307">
        <f t="shared" ref="K176:K186" si="158">(J176-I176)/I176</f>
        <v>2.9462649994208414E-2</v>
      </c>
      <c r="M176" s="211"/>
      <c r="N176" s="88">
        <v>278</v>
      </c>
      <c r="O176" s="274" t="s">
        <v>563</v>
      </c>
      <c r="P176" s="302">
        <f>VLOOKUP($N176,INPUT!$AB$9:$AF$161,3,FALSE)</f>
        <v>78.58</v>
      </c>
      <c r="Q176" s="302">
        <f>VLOOKUP($N176,INPUT!$AB$9:$AF$161,4,FALSE)</f>
        <v>80.91</v>
      </c>
      <c r="R176" s="198">
        <f>VLOOKUP($N176,INPUT!$AB$9:$AF$161,5,FALSE)</f>
        <v>1</v>
      </c>
      <c r="S176" s="196">
        <f>($R176*INPUT!$P$60)*INPUT!$G$63</f>
        <v>-0.21124060542904349</v>
      </c>
      <c r="T176" s="196">
        <f>($R176*INPUT!$P$60)*INPUT!$I$63</f>
        <v>0.7144188143822594</v>
      </c>
      <c r="U176" s="197">
        <f t="shared" si="87"/>
        <v>79.083178208953214</v>
      </c>
      <c r="V176" s="197">
        <f t="shared" si="88"/>
        <v>81.413178208953212</v>
      </c>
    </row>
    <row r="177" spans="1:22" ht="15.75" customHeight="1" thickBot="1" x14ac:dyDescent="0.25">
      <c r="A177" s="199" t="s">
        <v>564</v>
      </c>
      <c r="B177" s="402">
        <f t="shared" si="149"/>
        <v>0.11700000000000001</v>
      </c>
      <c r="C177" s="210">
        <f t="shared" si="150"/>
        <v>26.21</v>
      </c>
      <c r="D177" s="210">
        <f t="shared" si="151"/>
        <v>27</v>
      </c>
      <c r="E177" s="211">
        <f t="shared" si="152"/>
        <v>0.78999999999999915</v>
      </c>
      <c r="F177" s="307">
        <f t="shared" si="153"/>
        <v>2.9259259259259228E-2</v>
      </c>
      <c r="G177" s="211">
        <f t="shared" si="154"/>
        <v>-2.4715150835198093E-2</v>
      </c>
      <c r="H177" s="211">
        <f t="shared" si="155"/>
        <v>8.3587001282724366E-2</v>
      </c>
      <c r="I177" s="210">
        <f t="shared" si="156"/>
        <v>26.268871850447525</v>
      </c>
      <c r="J177" s="211">
        <f t="shared" si="157"/>
        <v>27.058871850447524</v>
      </c>
      <c r="K177" s="307">
        <f t="shared" si="158"/>
        <v>3.0073617340614513E-2</v>
      </c>
      <c r="M177" s="211"/>
      <c r="N177" s="88">
        <v>417</v>
      </c>
      <c r="O177" s="274" t="s">
        <v>564</v>
      </c>
      <c r="P177" s="302">
        <f>VLOOKUP($N177,INPUT!$AB$9:$AF$161,3,FALSE)</f>
        <v>26.21</v>
      </c>
      <c r="Q177" s="302">
        <f>VLOOKUP($N177,INPUT!$AB$9:$AF$161,4,FALSE)</f>
        <v>27</v>
      </c>
      <c r="R177" s="198">
        <f>VLOOKUP($N177,INPUT!$AB$9:$AF$161,5,FALSE)</f>
        <v>0.11700000000000001</v>
      </c>
      <c r="S177" s="196">
        <f>($R177*INPUT!$P$60)*INPUT!$G$63</f>
        <v>-2.4715150835198093E-2</v>
      </c>
      <c r="T177" s="196">
        <f>($R177*INPUT!$P$60)*INPUT!$I$63</f>
        <v>8.3587001282724366E-2</v>
      </c>
      <c r="U177" s="197">
        <f t="shared" si="87"/>
        <v>26.268871850447525</v>
      </c>
      <c r="V177" s="197">
        <f t="shared" si="88"/>
        <v>27.058871850447524</v>
      </c>
    </row>
    <row r="178" spans="1:22" ht="15.75" customHeight="1" thickBot="1" x14ac:dyDescent="0.25">
      <c r="A178" s="199" t="s">
        <v>565</v>
      </c>
      <c r="B178" s="402">
        <f t="shared" si="149"/>
        <v>0.18</v>
      </c>
      <c r="C178" s="210">
        <f t="shared" si="150"/>
        <v>28.08</v>
      </c>
      <c r="D178" s="210">
        <f t="shared" si="151"/>
        <v>28.91</v>
      </c>
      <c r="E178" s="211">
        <f t="shared" si="152"/>
        <v>0.83000000000000185</v>
      </c>
      <c r="F178" s="307">
        <f t="shared" si="153"/>
        <v>2.8709789000345966E-2</v>
      </c>
      <c r="G178" s="211">
        <f t="shared" si="154"/>
        <v>-3.8023308977227825E-2</v>
      </c>
      <c r="H178" s="211">
        <f t="shared" si="155"/>
        <v>0.1285953865888067</v>
      </c>
      <c r="I178" s="210">
        <f t="shared" si="156"/>
        <v>28.170572077611578</v>
      </c>
      <c r="J178" s="211">
        <f t="shared" si="157"/>
        <v>29.000572077611579</v>
      </c>
      <c r="K178" s="307">
        <f t="shared" si="158"/>
        <v>2.9463370417657946E-2</v>
      </c>
      <c r="M178" s="211"/>
      <c r="N178" s="88">
        <v>419</v>
      </c>
      <c r="O178" s="274" t="s">
        <v>565</v>
      </c>
      <c r="P178" s="302">
        <f>VLOOKUP($N178,INPUT!$AB$9:$AF$161,3,FALSE)</f>
        <v>28.08</v>
      </c>
      <c r="Q178" s="302">
        <f>VLOOKUP($N178,INPUT!$AB$9:$AF$161,4,FALSE)</f>
        <v>28.91</v>
      </c>
      <c r="R178" s="198">
        <f>VLOOKUP($N178,INPUT!$AB$9:$AF$161,5,FALSE)</f>
        <v>0.18</v>
      </c>
      <c r="S178" s="196">
        <f>($R178*INPUT!$P$60)*INPUT!$G$63</f>
        <v>-3.8023308977227825E-2</v>
      </c>
      <c r="T178" s="196">
        <f>($R178*INPUT!$P$60)*INPUT!$I$63</f>
        <v>0.1285953865888067</v>
      </c>
      <c r="U178" s="197">
        <f t="shared" si="87"/>
        <v>28.170572077611578</v>
      </c>
      <c r="V178" s="197">
        <f t="shared" si="88"/>
        <v>29.000572077611579</v>
      </c>
    </row>
    <row r="179" spans="1:22" ht="15.75" customHeight="1" thickBot="1" x14ac:dyDescent="0.25">
      <c r="A179" s="199" t="s">
        <v>566</v>
      </c>
      <c r="B179" s="402">
        <f t="shared" si="149"/>
        <v>8.3000000000000004E-2</v>
      </c>
      <c r="C179" s="210">
        <f t="shared" si="150"/>
        <v>22.13</v>
      </c>
      <c r="D179" s="210">
        <f t="shared" si="151"/>
        <v>22.78</v>
      </c>
      <c r="E179" s="211">
        <f t="shared" si="152"/>
        <v>0.65000000000000213</v>
      </c>
      <c r="F179" s="307">
        <f t="shared" si="153"/>
        <v>2.853380158033372E-2</v>
      </c>
      <c r="G179" s="211">
        <f t="shared" si="154"/>
        <v>-1.7532970250610611E-2</v>
      </c>
      <c r="H179" s="211">
        <f t="shared" si="155"/>
        <v>5.9296761593727536E-2</v>
      </c>
      <c r="I179" s="210">
        <f t="shared" si="156"/>
        <v>22.171763791343118</v>
      </c>
      <c r="J179" s="211">
        <f t="shared" si="157"/>
        <v>22.82176379134312</v>
      </c>
      <c r="K179" s="307">
        <f t="shared" si="158"/>
        <v>2.9316567058764724E-2</v>
      </c>
      <c r="M179" s="211"/>
      <c r="N179" s="88">
        <v>280</v>
      </c>
      <c r="O179" s="274" t="s">
        <v>566</v>
      </c>
      <c r="P179" s="302">
        <f>VLOOKUP($N179,INPUT!$AB$9:$AF$161,3,FALSE)</f>
        <v>22.13</v>
      </c>
      <c r="Q179" s="302">
        <f>VLOOKUP($N179,INPUT!$AB$9:$AF$161,4,FALSE)</f>
        <v>22.78</v>
      </c>
      <c r="R179" s="198">
        <f>VLOOKUP($N179,INPUT!$AB$9:$AF$161,5,FALSE)</f>
        <v>8.3000000000000004E-2</v>
      </c>
      <c r="S179" s="196">
        <f>($R179*INPUT!$P$60)*INPUT!$G$63</f>
        <v>-1.7532970250610611E-2</v>
      </c>
      <c r="T179" s="196">
        <f>($R179*INPUT!$P$60)*INPUT!$I$63</f>
        <v>5.9296761593727536E-2</v>
      </c>
      <c r="U179" s="197">
        <f t="shared" si="87"/>
        <v>22.171763791343118</v>
      </c>
      <c r="V179" s="197">
        <f t="shared" si="88"/>
        <v>22.82176379134312</v>
      </c>
    </row>
    <row r="180" spans="1:22" ht="15.75" customHeight="1" thickBot="1" x14ac:dyDescent="0.25">
      <c r="A180" s="199" t="s">
        <v>567</v>
      </c>
      <c r="B180" s="402">
        <f t="shared" si="149"/>
        <v>0.11700000000000001</v>
      </c>
      <c r="C180" s="210">
        <f t="shared" si="150"/>
        <v>23.19</v>
      </c>
      <c r="D180" s="210">
        <f t="shared" si="151"/>
        <v>23.88</v>
      </c>
      <c r="E180" s="211">
        <f t="shared" si="152"/>
        <v>0.68999999999999773</v>
      </c>
      <c r="F180" s="307">
        <f t="shared" si="153"/>
        <v>2.8894472361808952E-2</v>
      </c>
      <c r="G180" s="211">
        <f t="shared" si="154"/>
        <v>-2.4715150835198093E-2</v>
      </c>
      <c r="H180" s="211">
        <f t="shared" si="155"/>
        <v>8.3587001282724366E-2</v>
      </c>
      <c r="I180" s="210">
        <f t="shared" si="156"/>
        <v>23.248871850447525</v>
      </c>
      <c r="J180" s="211">
        <f t="shared" si="157"/>
        <v>23.938871850447523</v>
      </c>
      <c r="K180" s="307">
        <f t="shared" si="158"/>
        <v>2.9678859449118418E-2</v>
      </c>
      <c r="M180" s="211"/>
      <c r="N180" s="88">
        <v>281</v>
      </c>
      <c r="O180" s="274" t="s">
        <v>567</v>
      </c>
      <c r="P180" s="302">
        <f>VLOOKUP($N180,INPUT!$AB$9:$AF$161,3,FALSE)</f>
        <v>23.19</v>
      </c>
      <c r="Q180" s="302">
        <f>VLOOKUP($N180,INPUT!$AB$9:$AF$161,4,FALSE)</f>
        <v>23.88</v>
      </c>
      <c r="R180" s="198">
        <f>VLOOKUP($N180,INPUT!$AB$9:$AF$161,5,FALSE)</f>
        <v>0.11700000000000001</v>
      </c>
      <c r="S180" s="196">
        <f>($R180*INPUT!$P$60)*INPUT!$G$63</f>
        <v>-2.4715150835198093E-2</v>
      </c>
      <c r="T180" s="196">
        <f>($R180*INPUT!$P$60)*INPUT!$I$63</f>
        <v>8.3587001282724366E-2</v>
      </c>
      <c r="U180" s="197">
        <f t="shared" si="87"/>
        <v>23.248871850447525</v>
      </c>
      <c r="V180" s="197">
        <f t="shared" si="88"/>
        <v>23.938871850447523</v>
      </c>
    </row>
    <row r="181" spans="1:22" ht="15.75" customHeight="1" thickBot="1" x14ac:dyDescent="0.25">
      <c r="A181" s="199" t="s">
        <v>568</v>
      </c>
      <c r="B181" s="402">
        <f t="shared" si="149"/>
        <v>8.3000000000000004E-2</v>
      </c>
      <c r="C181" s="210">
        <f t="shared" si="150"/>
        <v>22.29</v>
      </c>
      <c r="D181" s="210">
        <f t="shared" si="151"/>
        <v>22.95</v>
      </c>
      <c r="E181" s="211">
        <f t="shared" si="152"/>
        <v>0.66000000000000014</v>
      </c>
      <c r="F181" s="307">
        <f t="shared" si="153"/>
        <v>2.8758169934640528E-2</v>
      </c>
      <c r="G181" s="211">
        <f t="shared" si="154"/>
        <v>-1.7532970250610611E-2</v>
      </c>
      <c r="H181" s="211">
        <f t="shared" si="155"/>
        <v>5.9296761593727536E-2</v>
      </c>
      <c r="I181" s="210">
        <f t="shared" si="156"/>
        <v>22.331763791343118</v>
      </c>
      <c r="J181" s="211">
        <f t="shared" si="157"/>
        <v>22.991763791343118</v>
      </c>
      <c r="K181" s="307">
        <f t="shared" si="158"/>
        <v>2.9554315824164699E-2</v>
      </c>
      <c r="M181" s="211"/>
      <c r="N181" s="88">
        <v>282</v>
      </c>
      <c r="O181" s="274" t="s">
        <v>568</v>
      </c>
      <c r="P181" s="302">
        <f>VLOOKUP($N181,INPUT!$AB$9:$AF$161,3,FALSE)</f>
        <v>22.29</v>
      </c>
      <c r="Q181" s="302">
        <f>VLOOKUP($N181,INPUT!$AB$9:$AF$161,4,FALSE)</f>
        <v>22.95</v>
      </c>
      <c r="R181" s="198">
        <f>VLOOKUP($N181,INPUT!$AB$9:$AF$161,5,FALSE)</f>
        <v>8.3000000000000004E-2</v>
      </c>
      <c r="S181" s="196">
        <f>($R181*INPUT!$P$60)*INPUT!$G$63</f>
        <v>-1.7532970250610611E-2</v>
      </c>
      <c r="T181" s="196">
        <f>($R181*INPUT!$P$60)*INPUT!$I$63</f>
        <v>5.9296761593727536E-2</v>
      </c>
      <c r="U181" s="197">
        <f t="shared" si="87"/>
        <v>22.331763791343118</v>
      </c>
      <c r="V181" s="197">
        <f t="shared" si="88"/>
        <v>22.991763791343118</v>
      </c>
    </row>
    <row r="182" spans="1:22" ht="15.75" customHeight="1" thickBot="1" x14ac:dyDescent="0.25">
      <c r="A182" s="199" t="s">
        <v>569</v>
      </c>
      <c r="B182" s="402">
        <f t="shared" si="149"/>
        <v>0.11700000000000001</v>
      </c>
      <c r="C182" s="210">
        <f t="shared" si="150"/>
        <v>23.69</v>
      </c>
      <c r="D182" s="210">
        <f t="shared" si="151"/>
        <v>24.39</v>
      </c>
      <c r="E182" s="211">
        <f t="shared" si="152"/>
        <v>0.69999999999999929</v>
      </c>
      <c r="F182" s="307">
        <f t="shared" si="153"/>
        <v>2.8700287002869997E-2</v>
      </c>
      <c r="G182" s="211">
        <f t="shared" si="154"/>
        <v>-2.4715150835198093E-2</v>
      </c>
      <c r="H182" s="211">
        <f t="shared" si="155"/>
        <v>8.3587001282724366E-2</v>
      </c>
      <c r="I182" s="210">
        <f t="shared" si="156"/>
        <v>23.748871850447525</v>
      </c>
      <c r="J182" s="211">
        <f t="shared" si="157"/>
        <v>24.448871850447524</v>
      </c>
      <c r="K182" s="307">
        <f t="shared" si="158"/>
        <v>2.9475084307501894E-2</v>
      </c>
      <c r="M182" s="211"/>
      <c r="N182" s="88">
        <v>283</v>
      </c>
      <c r="O182" s="274" t="s">
        <v>569</v>
      </c>
      <c r="P182" s="302">
        <f>VLOOKUP($N182,INPUT!$AB$9:$AF$161,3,FALSE)</f>
        <v>23.69</v>
      </c>
      <c r="Q182" s="302">
        <f>VLOOKUP($N182,INPUT!$AB$9:$AF$161,4,FALSE)</f>
        <v>24.39</v>
      </c>
      <c r="R182" s="198">
        <f>VLOOKUP($N182,INPUT!$AB$9:$AF$161,5,FALSE)</f>
        <v>0.11700000000000001</v>
      </c>
      <c r="S182" s="196">
        <f>($R182*INPUT!$P$60)*INPUT!$G$63</f>
        <v>-2.4715150835198093E-2</v>
      </c>
      <c r="T182" s="196">
        <f>($R182*INPUT!$P$60)*INPUT!$I$63</f>
        <v>8.3587001282724366E-2</v>
      </c>
      <c r="U182" s="197">
        <f t="shared" si="87"/>
        <v>23.748871850447525</v>
      </c>
      <c r="V182" s="197">
        <f t="shared" si="88"/>
        <v>24.448871850447524</v>
      </c>
    </row>
    <row r="183" spans="1:22" ht="15.75" customHeight="1" thickBot="1" x14ac:dyDescent="0.25">
      <c r="A183" s="199" t="s">
        <v>570</v>
      </c>
      <c r="B183" s="402">
        <f t="shared" si="149"/>
        <v>8.3000000000000004E-2</v>
      </c>
      <c r="C183" s="210">
        <f t="shared" si="150"/>
        <v>35.94</v>
      </c>
      <c r="D183" s="210">
        <f t="shared" si="151"/>
        <v>37.01</v>
      </c>
      <c r="E183" s="211">
        <f t="shared" si="152"/>
        <v>1.0700000000000003</v>
      </c>
      <c r="F183" s="307">
        <f t="shared" si="153"/>
        <v>2.8911105106727921E-2</v>
      </c>
      <c r="G183" s="211">
        <f t="shared" si="154"/>
        <v>-1.7532970250610611E-2</v>
      </c>
      <c r="H183" s="211">
        <f t="shared" si="155"/>
        <v>5.9296761593727536E-2</v>
      </c>
      <c r="I183" s="210">
        <f t="shared" si="156"/>
        <v>35.981763791343113</v>
      </c>
      <c r="J183" s="211">
        <f t="shared" si="157"/>
        <v>37.051763791343113</v>
      </c>
      <c r="K183" s="307">
        <f t="shared" si="158"/>
        <v>2.97372859820016E-2</v>
      </c>
      <c r="M183" s="211"/>
      <c r="N183" s="88">
        <v>426</v>
      </c>
      <c r="O183" s="274" t="s">
        <v>570</v>
      </c>
      <c r="P183" s="302">
        <f>VLOOKUP($N183,INPUT!$AB$9:$AF$161,3,FALSE)</f>
        <v>35.94</v>
      </c>
      <c r="Q183" s="302">
        <f>VLOOKUP($N183,INPUT!$AB$9:$AF$161,4,FALSE)</f>
        <v>37.01</v>
      </c>
      <c r="R183" s="198">
        <f>VLOOKUP($N183,INPUT!$AB$9:$AF$161,5,FALSE)</f>
        <v>8.3000000000000004E-2</v>
      </c>
      <c r="S183" s="196">
        <f>($R183*INPUT!$P$60)*INPUT!$G$63</f>
        <v>-1.7532970250610611E-2</v>
      </c>
      <c r="T183" s="196">
        <f>($R183*INPUT!$P$60)*INPUT!$I$63</f>
        <v>5.9296761593727536E-2</v>
      </c>
      <c r="U183" s="197">
        <f t="shared" si="87"/>
        <v>35.981763791343113</v>
      </c>
      <c r="V183" s="197">
        <f t="shared" si="88"/>
        <v>37.051763791343113</v>
      </c>
    </row>
    <row r="184" spans="1:22" ht="15.75" customHeight="1" thickBot="1" x14ac:dyDescent="0.25">
      <c r="A184" s="199" t="s">
        <v>571</v>
      </c>
      <c r="B184" s="402">
        <f t="shared" si="149"/>
        <v>0.11700000000000001</v>
      </c>
      <c r="C184" s="210">
        <f t="shared" si="150"/>
        <v>36.89</v>
      </c>
      <c r="D184" s="210">
        <f t="shared" si="151"/>
        <v>37.99</v>
      </c>
      <c r="E184" s="211">
        <f t="shared" si="152"/>
        <v>1.1000000000000014</v>
      </c>
      <c r="F184" s="307">
        <f t="shared" si="153"/>
        <v>2.8954988154777608E-2</v>
      </c>
      <c r="G184" s="211">
        <f t="shared" si="154"/>
        <v>-2.4715150835198093E-2</v>
      </c>
      <c r="H184" s="211">
        <f t="shared" si="155"/>
        <v>8.3587001282724366E-2</v>
      </c>
      <c r="I184" s="210">
        <f t="shared" si="156"/>
        <v>36.948871850447524</v>
      </c>
      <c r="J184" s="211">
        <f t="shared" si="157"/>
        <v>38.048871850447526</v>
      </c>
      <c r="K184" s="307">
        <f t="shared" si="158"/>
        <v>2.9770868362430886E-2</v>
      </c>
      <c r="M184" s="211"/>
      <c r="N184" s="88">
        <v>428</v>
      </c>
      <c r="O184" s="274" t="s">
        <v>571</v>
      </c>
      <c r="P184" s="302">
        <f>VLOOKUP($N184,INPUT!$AB$9:$AF$161,3,FALSE)</f>
        <v>36.89</v>
      </c>
      <c r="Q184" s="302">
        <f>VLOOKUP($N184,INPUT!$AB$9:$AF$161,4,FALSE)</f>
        <v>37.99</v>
      </c>
      <c r="R184" s="198">
        <f>VLOOKUP($N184,INPUT!$AB$9:$AF$161,5,FALSE)</f>
        <v>0.11700000000000001</v>
      </c>
      <c r="S184" s="196">
        <f>($R184*INPUT!$P$60)*INPUT!$G$63</f>
        <v>-2.4715150835198093E-2</v>
      </c>
      <c r="T184" s="196">
        <f>($R184*INPUT!$P$60)*INPUT!$I$63</f>
        <v>8.3587001282724366E-2</v>
      </c>
      <c r="U184" s="197">
        <f t="shared" si="87"/>
        <v>36.948871850447524</v>
      </c>
      <c r="V184" s="197">
        <f t="shared" si="88"/>
        <v>38.048871850447526</v>
      </c>
    </row>
    <row r="185" spans="1:22" ht="15.75" customHeight="1" thickBot="1" x14ac:dyDescent="0.25">
      <c r="A185" s="199" t="s">
        <v>572</v>
      </c>
      <c r="B185" s="402">
        <f t="shared" si="149"/>
        <v>8.3000000000000004E-2</v>
      </c>
      <c r="C185" s="210">
        <f t="shared" si="150"/>
        <v>34.96</v>
      </c>
      <c r="D185" s="210">
        <f t="shared" si="151"/>
        <v>36</v>
      </c>
      <c r="E185" s="211">
        <f t="shared" si="152"/>
        <v>1.0399999999999991</v>
      </c>
      <c r="F185" s="307">
        <f t="shared" si="153"/>
        <v>2.8888888888888867E-2</v>
      </c>
      <c r="G185" s="211">
        <f t="shared" si="154"/>
        <v>-1.7532970250610611E-2</v>
      </c>
      <c r="H185" s="211">
        <f t="shared" si="155"/>
        <v>5.9296761593727536E-2</v>
      </c>
      <c r="I185" s="210">
        <f t="shared" si="156"/>
        <v>35.001763791343116</v>
      </c>
      <c r="J185" s="211">
        <f t="shared" si="157"/>
        <v>36.041763791343115</v>
      </c>
      <c r="K185" s="307">
        <f t="shared" si="158"/>
        <v>2.971278836688851E-2</v>
      </c>
      <c r="M185" s="211"/>
      <c r="N185" s="88">
        <v>430</v>
      </c>
      <c r="O185" s="274" t="s">
        <v>572</v>
      </c>
      <c r="P185" s="302">
        <f>VLOOKUP($N185,INPUT!$AB$9:$AF$161,3,FALSE)</f>
        <v>34.96</v>
      </c>
      <c r="Q185" s="302">
        <f>VLOOKUP($N185,INPUT!$AB$9:$AF$161,4,FALSE)</f>
        <v>36</v>
      </c>
      <c r="R185" s="198">
        <f>VLOOKUP($N185,INPUT!$AB$9:$AF$161,5,FALSE)</f>
        <v>8.3000000000000004E-2</v>
      </c>
      <c r="S185" s="196">
        <f>($R185*INPUT!$P$60)*INPUT!$G$63</f>
        <v>-1.7532970250610611E-2</v>
      </c>
      <c r="T185" s="196">
        <f>($R185*INPUT!$P$60)*INPUT!$I$63</f>
        <v>5.9296761593727536E-2</v>
      </c>
      <c r="U185" s="197">
        <f t="shared" si="87"/>
        <v>35.001763791343116</v>
      </c>
      <c r="V185" s="197">
        <f t="shared" si="88"/>
        <v>36.041763791343115</v>
      </c>
    </row>
    <row r="186" spans="1:22" ht="15.75" customHeight="1" thickBot="1" x14ac:dyDescent="0.25">
      <c r="A186" s="199" t="s">
        <v>573</v>
      </c>
      <c r="B186" s="402">
        <f t="shared" si="149"/>
        <v>0.11700000000000001</v>
      </c>
      <c r="C186" s="210">
        <f t="shared" si="150"/>
        <v>37.130000000000003</v>
      </c>
      <c r="D186" s="210">
        <f t="shared" si="151"/>
        <v>38.229999999999997</v>
      </c>
      <c r="E186" s="211">
        <f t="shared" si="152"/>
        <v>1.0999999999999943</v>
      </c>
      <c r="F186" s="307">
        <f t="shared" si="153"/>
        <v>2.877321475281178E-2</v>
      </c>
      <c r="G186" s="211">
        <f t="shared" si="154"/>
        <v>-2.4715150835198093E-2</v>
      </c>
      <c r="H186" s="211">
        <f t="shared" si="155"/>
        <v>8.3587001282724366E-2</v>
      </c>
      <c r="I186" s="210">
        <f t="shared" si="156"/>
        <v>37.188871850447526</v>
      </c>
      <c r="J186" s="211">
        <f t="shared" si="157"/>
        <v>38.288871850447521</v>
      </c>
      <c r="K186" s="307">
        <f t="shared" si="158"/>
        <v>2.9578740770184377E-2</v>
      </c>
      <c r="M186" s="211"/>
      <c r="N186" s="88">
        <v>432</v>
      </c>
      <c r="O186" s="274" t="s">
        <v>573</v>
      </c>
      <c r="P186" s="302">
        <f>VLOOKUP($N186,INPUT!$AB$9:$AF$161,3,FALSE)</f>
        <v>37.130000000000003</v>
      </c>
      <c r="Q186" s="302">
        <f>VLOOKUP($N186,INPUT!$AB$9:$AF$161,4,FALSE)</f>
        <v>38.229999999999997</v>
      </c>
      <c r="R186" s="198">
        <f>VLOOKUP($N186,INPUT!$AB$9:$AF$161,5,FALSE)</f>
        <v>0.11700000000000001</v>
      </c>
      <c r="S186" s="196">
        <f>($R186*INPUT!$P$60)*INPUT!$G$63</f>
        <v>-2.4715150835198093E-2</v>
      </c>
      <c r="T186" s="196">
        <f>($R186*INPUT!$P$60)*INPUT!$I$63</f>
        <v>8.3587001282724366E-2</v>
      </c>
      <c r="U186" s="197">
        <f t="shared" si="87"/>
        <v>37.188871850447526</v>
      </c>
      <c r="V186" s="197">
        <f t="shared" si="88"/>
        <v>38.288871850447521</v>
      </c>
    </row>
    <row r="187" spans="1:22" x14ac:dyDescent="0.2">
      <c r="A187" s="199"/>
      <c r="B187" s="189"/>
      <c r="C187" s="210"/>
      <c r="D187" s="210"/>
      <c r="E187" s="211"/>
      <c r="F187" s="195"/>
      <c r="G187" s="211"/>
      <c r="H187" s="211"/>
      <c r="I187" s="211"/>
      <c r="J187" s="211"/>
      <c r="K187" s="195"/>
      <c r="O187" s="221"/>
      <c r="P187" s="203"/>
      <c r="Q187" s="203"/>
      <c r="R187" s="198"/>
      <c r="S187" s="196"/>
      <c r="T187" s="196"/>
      <c r="U187" s="197"/>
      <c r="V187" s="197"/>
    </row>
    <row r="188" spans="1:22" x14ac:dyDescent="0.2">
      <c r="A188" s="175" t="s">
        <v>314</v>
      </c>
      <c r="B188" s="189"/>
      <c r="C188" s="210"/>
      <c r="D188" s="210"/>
      <c r="E188" s="211"/>
      <c r="F188" s="195"/>
      <c r="G188" s="211"/>
      <c r="H188" s="211"/>
      <c r="I188" s="211"/>
      <c r="J188" s="211"/>
      <c r="K188" s="195"/>
      <c r="O188" s="221"/>
      <c r="P188" s="203"/>
      <c r="Q188" s="203"/>
      <c r="R188" s="198"/>
      <c r="S188" s="196"/>
      <c r="T188" s="196"/>
      <c r="U188" s="197"/>
      <c r="V188" s="197"/>
    </row>
    <row r="189" spans="1:22" x14ac:dyDescent="0.2">
      <c r="A189" s="172" t="s">
        <v>328</v>
      </c>
      <c r="B189" s="189"/>
      <c r="C189" s="210"/>
      <c r="D189" s="210"/>
      <c r="E189" s="211"/>
      <c r="F189" s="195"/>
      <c r="G189" s="211"/>
      <c r="H189" s="211"/>
      <c r="I189" s="211"/>
      <c r="J189" s="211"/>
      <c r="K189" s="195"/>
      <c r="O189" s="221"/>
      <c r="P189" s="203"/>
      <c r="Q189" s="203"/>
      <c r="R189" s="198"/>
      <c r="S189" s="196"/>
      <c r="T189" s="196"/>
      <c r="U189" s="197"/>
      <c r="V189" s="197"/>
    </row>
    <row r="190" spans="1:22" x14ac:dyDescent="0.2">
      <c r="A190" s="172" t="str">
        <f>+'Rate Case Constants'!$C$26</f>
        <v>Calculations may vary from other schedules due to rounding</v>
      </c>
      <c r="B190" s="189"/>
      <c r="C190" s="210"/>
      <c r="D190" s="210"/>
      <c r="E190" s="211"/>
      <c r="F190" s="195"/>
      <c r="G190" s="211"/>
      <c r="H190" s="211"/>
      <c r="I190" s="211"/>
      <c r="J190" s="211"/>
      <c r="K190" s="195"/>
      <c r="O190" s="221"/>
      <c r="P190" s="203"/>
      <c r="Q190" s="203"/>
      <c r="R190" s="198"/>
      <c r="S190" s="196"/>
      <c r="T190" s="196"/>
      <c r="U190" s="197"/>
      <c r="V190" s="197"/>
    </row>
    <row r="191" spans="1:22" x14ac:dyDescent="0.2">
      <c r="A191" s="172" t="s">
        <v>377</v>
      </c>
      <c r="B191" s="189"/>
      <c r="C191" s="210"/>
      <c r="D191" s="210"/>
      <c r="E191" s="211"/>
      <c r="F191" s="195"/>
      <c r="G191" s="211"/>
      <c r="H191" s="211"/>
      <c r="I191" s="211"/>
      <c r="J191" s="211"/>
      <c r="K191" s="195"/>
      <c r="O191" s="221"/>
      <c r="P191" s="203"/>
      <c r="Q191" s="203"/>
      <c r="R191" s="198"/>
      <c r="S191" s="196"/>
      <c r="T191" s="196"/>
      <c r="U191" s="197"/>
      <c r="V191" s="197"/>
    </row>
    <row r="192" spans="1:22" x14ac:dyDescent="0.2">
      <c r="A192" s="438" t="str">
        <f>+A1</f>
        <v>LOUISVILLE GAS AND ELECTRIC COMPANY</v>
      </c>
      <c r="B192" s="438"/>
      <c r="C192" s="438"/>
      <c r="D192" s="438"/>
      <c r="E192" s="438"/>
      <c r="F192" s="438"/>
      <c r="G192" s="438"/>
      <c r="H192" s="438"/>
      <c r="I192" s="438"/>
      <c r="J192" s="438"/>
      <c r="K192" s="438"/>
      <c r="O192" s="221"/>
      <c r="P192" s="203"/>
      <c r="Q192" s="203"/>
      <c r="R192" s="198"/>
      <c r="S192" s="196"/>
      <c r="T192" s="196"/>
      <c r="U192" s="197"/>
      <c r="V192" s="197"/>
    </row>
    <row r="193" spans="1:22" x14ac:dyDescent="0.2">
      <c r="A193" s="438" t="str">
        <f>+A2</f>
        <v>CASE NO. 2018-00295</v>
      </c>
      <c r="B193" s="438"/>
      <c r="C193" s="438"/>
      <c r="D193" s="438"/>
      <c r="E193" s="438"/>
      <c r="F193" s="438"/>
      <c r="G193" s="438"/>
      <c r="H193" s="438"/>
      <c r="I193" s="438"/>
      <c r="J193" s="438"/>
      <c r="K193" s="438"/>
      <c r="O193" s="221"/>
      <c r="P193" s="203"/>
      <c r="Q193" s="203"/>
      <c r="R193" s="198"/>
      <c r="S193" s="196"/>
      <c r="T193" s="196"/>
      <c r="U193" s="197"/>
      <c r="V193" s="197"/>
    </row>
    <row r="194" spans="1:22" x14ac:dyDescent="0.2">
      <c r="A194" s="438" t="str">
        <f>+A3</f>
        <v>Typical Bill Comparison under Present &amp; Proposed Rates</v>
      </c>
      <c r="B194" s="438"/>
      <c r="C194" s="438"/>
      <c r="D194" s="438"/>
      <c r="E194" s="438"/>
      <c r="F194" s="438"/>
      <c r="G194" s="438"/>
      <c r="H194" s="438"/>
      <c r="I194" s="438"/>
      <c r="J194" s="438"/>
      <c r="K194" s="438"/>
      <c r="O194" s="221"/>
      <c r="P194" s="203"/>
      <c r="Q194" s="203"/>
      <c r="R194" s="198"/>
      <c r="S194" s="196"/>
      <c r="T194" s="196"/>
      <c r="U194" s="197"/>
      <c r="V194" s="197"/>
    </row>
    <row r="195" spans="1:22" x14ac:dyDescent="0.2">
      <c r="A195" s="438" t="str">
        <f>+A4</f>
        <v>FORECAST PERIOD FOR THE 12 MONTHS ENDED APRIL 30, 2020</v>
      </c>
      <c r="B195" s="438"/>
      <c r="C195" s="438"/>
      <c r="D195" s="438"/>
      <c r="E195" s="438"/>
      <c r="F195" s="438"/>
      <c r="G195" s="438"/>
      <c r="H195" s="438"/>
      <c r="I195" s="438"/>
      <c r="J195" s="438"/>
      <c r="K195" s="438"/>
      <c r="O195" s="221"/>
      <c r="P195" s="203"/>
      <c r="Q195" s="203"/>
      <c r="R195" s="198"/>
      <c r="S195" s="196"/>
      <c r="T195" s="196"/>
      <c r="U195" s="197"/>
      <c r="V195" s="197"/>
    </row>
    <row r="196" spans="1:22" x14ac:dyDescent="0.2">
      <c r="A196" s="239"/>
      <c r="B196" s="240"/>
      <c r="C196" s="241"/>
      <c r="D196" s="241"/>
      <c r="E196" s="242"/>
      <c r="F196" s="243"/>
      <c r="G196" s="242"/>
      <c r="H196" s="242"/>
      <c r="I196" s="242"/>
      <c r="J196" s="242"/>
      <c r="K196" s="243"/>
      <c r="O196" s="221"/>
      <c r="P196" s="203"/>
      <c r="Q196" s="203"/>
      <c r="R196" s="198"/>
      <c r="S196" s="196"/>
      <c r="T196" s="196"/>
      <c r="U196" s="197"/>
      <c r="V196" s="197"/>
    </row>
    <row r="197" spans="1:22" x14ac:dyDescent="0.2">
      <c r="A197" s="239" t="str">
        <f>+A151</f>
        <v>DATA: ____BASE PERIOD__X___FORECASTED PERIOD</v>
      </c>
      <c r="B197" s="240"/>
      <c r="C197" s="241"/>
      <c r="D197" s="241"/>
      <c r="E197" s="242"/>
      <c r="F197" s="243"/>
      <c r="G197" s="242"/>
      <c r="H197" s="242"/>
      <c r="I197" s="242"/>
      <c r="J197" s="242"/>
      <c r="K197" s="244" t="str">
        <f>+K151</f>
        <v>SCHEDULE N</v>
      </c>
      <c r="O197" s="221"/>
      <c r="P197" s="203"/>
      <c r="Q197" s="203"/>
      <c r="R197" s="198"/>
      <c r="S197" s="196"/>
      <c r="T197" s="196"/>
      <c r="U197" s="197"/>
      <c r="V197" s="197"/>
    </row>
    <row r="198" spans="1:22" x14ac:dyDescent="0.2">
      <c r="A198" s="239" t="str">
        <f>+A152</f>
        <v>TYPE OF FILING: __X__ ORIGINAL  _____ UPDATED  _____ REVISED</v>
      </c>
      <c r="B198" s="240"/>
      <c r="C198" s="241"/>
      <c r="D198" s="241"/>
      <c r="E198" s="242"/>
      <c r="F198" s="243"/>
      <c r="G198" s="242"/>
      <c r="H198" s="242"/>
      <c r="I198" s="242"/>
      <c r="J198" s="242"/>
      <c r="K198" s="244" t="str">
        <f>+'Rate Case Constants'!L26</f>
        <v>PAGE 19 of 26</v>
      </c>
      <c r="O198" s="221"/>
      <c r="P198" s="203"/>
      <c r="Q198" s="203"/>
      <c r="R198" s="198"/>
      <c r="S198" s="196"/>
      <c r="T198" s="196"/>
      <c r="U198" s="197"/>
      <c r="V198" s="197"/>
    </row>
    <row r="199" spans="1:22" x14ac:dyDescent="0.2">
      <c r="A199" s="239" t="str">
        <f>+A153</f>
        <v>WORKPAPER REFERENCE NO(S):________</v>
      </c>
      <c r="B199" s="240"/>
      <c r="C199" s="241"/>
      <c r="D199" s="241"/>
      <c r="E199" s="242"/>
      <c r="F199" s="243"/>
      <c r="G199" s="242"/>
      <c r="H199" s="242"/>
      <c r="I199" s="242"/>
      <c r="J199" s="242"/>
      <c r="K199" s="244" t="str">
        <f>+K153</f>
        <v>WITNESS:   R. M. CONROY</v>
      </c>
      <c r="O199" s="221"/>
      <c r="P199" s="203"/>
      <c r="Q199" s="203"/>
      <c r="R199" s="198"/>
      <c r="S199" s="196"/>
      <c r="T199" s="196"/>
      <c r="U199" s="197"/>
      <c r="V199" s="197"/>
    </row>
    <row r="200" spans="1:22" x14ac:dyDescent="0.2">
      <c r="A200" s="257"/>
      <c r="B200" s="189"/>
      <c r="C200" s="258"/>
      <c r="D200" s="258"/>
      <c r="E200" s="259"/>
      <c r="F200" s="225"/>
      <c r="G200" s="259"/>
      <c r="H200" s="259"/>
      <c r="I200" s="259"/>
      <c r="J200" s="259"/>
      <c r="K200" s="225"/>
      <c r="O200" s="221"/>
      <c r="P200" s="203"/>
      <c r="Q200" s="203"/>
      <c r="R200" s="198"/>
      <c r="S200" s="196"/>
      <c r="T200" s="196"/>
      <c r="U200" s="197"/>
      <c r="V200" s="197"/>
    </row>
    <row r="201" spans="1:22" x14ac:dyDescent="0.2">
      <c r="A201" s="230" t="s">
        <v>94</v>
      </c>
      <c r="B201" s="189"/>
      <c r="C201" s="258"/>
      <c r="D201" s="258"/>
      <c r="E201" s="259"/>
      <c r="F201" s="225"/>
      <c r="G201" s="259"/>
      <c r="H201" s="259"/>
      <c r="I201" s="259"/>
      <c r="J201" s="259"/>
      <c r="K201" s="225"/>
      <c r="O201" s="221"/>
      <c r="P201" s="203"/>
      <c r="Q201" s="203"/>
      <c r="R201" s="198"/>
      <c r="S201" s="196"/>
      <c r="T201" s="196"/>
      <c r="U201" s="197"/>
      <c r="V201" s="197"/>
    </row>
    <row r="202" spans="1:22" x14ac:dyDescent="0.2">
      <c r="A202" s="88"/>
      <c r="B202" s="3" t="s">
        <v>304</v>
      </c>
      <c r="C202" s="26" t="s">
        <v>305</v>
      </c>
      <c r="D202" s="26" t="s">
        <v>306</v>
      </c>
      <c r="E202" s="3" t="s">
        <v>307</v>
      </c>
      <c r="F202" s="3" t="s">
        <v>308</v>
      </c>
      <c r="G202" s="26" t="s">
        <v>309</v>
      </c>
      <c r="H202" s="3" t="s">
        <v>310</v>
      </c>
      <c r="I202" s="3" t="s">
        <v>311</v>
      </c>
      <c r="J202" s="3" t="s">
        <v>312</v>
      </c>
      <c r="K202" s="3" t="s">
        <v>313</v>
      </c>
      <c r="O202" s="221"/>
      <c r="P202" s="203"/>
      <c r="Q202" s="203"/>
      <c r="R202" s="198"/>
      <c r="S202" s="196"/>
      <c r="T202" s="196"/>
      <c r="U202" s="197"/>
      <c r="V202" s="197"/>
    </row>
    <row r="203" spans="1:22" x14ac:dyDescent="0.2">
      <c r="A203" s="205"/>
      <c r="B203" s="41"/>
      <c r="C203" s="231" t="s">
        <v>339</v>
      </c>
      <c r="D203" s="231" t="s">
        <v>339</v>
      </c>
      <c r="E203"/>
      <c r="F203"/>
      <c r="G203" s="30"/>
      <c r="H203" s="30"/>
      <c r="I203" s="3" t="s">
        <v>5</v>
      </c>
      <c r="J203" s="3" t="s">
        <v>5</v>
      </c>
      <c r="K203"/>
      <c r="O203" s="221"/>
      <c r="P203" s="203"/>
      <c r="Q203" s="203"/>
      <c r="R203" s="198"/>
      <c r="S203" s="196"/>
      <c r="T203" s="196"/>
      <c r="U203" s="197"/>
      <c r="V203" s="197"/>
    </row>
    <row r="204" spans="1:22" x14ac:dyDescent="0.2">
      <c r="A204" s="205"/>
      <c r="B204" s="3" t="s">
        <v>327</v>
      </c>
      <c r="C204" s="3" t="s">
        <v>1</v>
      </c>
      <c r="D204" s="3" t="s">
        <v>73</v>
      </c>
      <c r="E204" s="3"/>
      <c r="F204" s="3"/>
      <c r="G204" s="440" t="s">
        <v>126</v>
      </c>
      <c r="H204" s="440"/>
      <c r="I204" s="3" t="s">
        <v>1</v>
      </c>
      <c r="J204" s="3" t="s">
        <v>73</v>
      </c>
      <c r="K204" s="3"/>
      <c r="O204" s="221"/>
      <c r="P204" s="203"/>
      <c r="Q204" s="203"/>
      <c r="R204" s="198"/>
      <c r="S204" s="196"/>
      <c r="T204" s="196"/>
      <c r="U204" s="197"/>
      <c r="V204" s="197"/>
    </row>
    <row r="205" spans="1:22" x14ac:dyDescent="0.2">
      <c r="A205" s="205"/>
      <c r="B205" s="3" t="s">
        <v>20</v>
      </c>
      <c r="C205" s="3" t="s">
        <v>4</v>
      </c>
      <c r="D205" s="3" t="s">
        <v>4</v>
      </c>
      <c r="E205" s="3" t="s">
        <v>74</v>
      </c>
      <c r="F205" s="3" t="s">
        <v>74</v>
      </c>
      <c r="G205" s="164" t="s">
        <v>376</v>
      </c>
      <c r="H205" s="51" t="s">
        <v>71</v>
      </c>
      <c r="I205" s="3" t="s">
        <v>4</v>
      </c>
      <c r="J205" s="3" t="s">
        <v>4</v>
      </c>
      <c r="K205" s="3" t="s">
        <v>74</v>
      </c>
      <c r="O205" s="221"/>
      <c r="P205" s="203"/>
      <c r="Q205" s="203"/>
      <c r="R205" s="198"/>
      <c r="S205" s="196"/>
      <c r="T205" s="196"/>
      <c r="U205" s="197"/>
      <c r="V205" s="197"/>
    </row>
    <row r="206" spans="1:22" x14ac:dyDescent="0.2">
      <c r="A206" s="205"/>
      <c r="B206" s="41"/>
      <c r="C206" s="3"/>
      <c r="D206" s="3"/>
      <c r="E206" s="3" t="s">
        <v>68</v>
      </c>
      <c r="F206" s="26" t="s">
        <v>69</v>
      </c>
      <c r="G206" s="50"/>
      <c r="H206" s="52"/>
      <c r="I206" s="3" t="s">
        <v>68</v>
      </c>
      <c r="J206" s="3" t="s">
        <v>68</v>
      </c>
      <c r="K206" s="26" t="s">
        <v>69</v>
      </c>
      <c r="O206" s="221"/>
      <c r="P206" s="203"/>
      <c r="Q206" s="203"/>
      <c r="R206" s="198"/>
      <c r="S206" s="196"/>
      <c r="T206" s="196"/>
      <c r="U206" s="197"/>
      <c r="V206" s="197"/>
    </row>
    <row r="207" spans="1:22" x14ac:dyDescent="0.2">
      <c r="A207" s="263"/>
      <c r="B207" s="247"/>
      <c r="C207" s="234"/>
      <c r="D207" s="234"/>
      <c r="E207" s="234" t="str">
        <f>("[ "&amp;D202&amp;" - "&amp;C202&amp;" ]")</f>
        <v>[ C - B ]</v>
      </c>
      <c r="F207" s="234" t="str">
        <f>("[ "&amp;E202&amp;" / "&amp;C202&amp;" ]")</f>
        <v>[ D / B ]</v>
      </c>
      <c r="G207" s="262"/>
      <c r="H207" s="262"/>
      <c r="I207" s="234" t="str">
        <f>("["&amp;C202&amp;"+"&amp;$G$10&amp;"+"&amp;$H$10&amp;"]")</f>
        <v>[B+F+G]</v>
      </c>
      <c r="J207" s="234" t="str">
        <f>("["&amp;D202&amp;"+"&amp;$G$10&amp;"+"&amp;$H$10&amp;"]")</f>
        <v>[C+F+G]</v>
      </c>
      <c r="K207" s="234" t="str">
        <f>("[("&amp;J202&amp;" - "&amp;I202&amp;")"&amp;I202&amp;"]")</f>
        <v>[(I - H)H]</v>
      </c>
      <c r="O207" s="221"/>
      <c r="P207" s="203"/>
      <c r="Q207" s="203"/>
      <c r="R207" s="198"/>
      <c r="S207" s="196"/>
      <c r="T207" s="196"/>
      <c r="U207" s="197"/>
      <c r="V207" s="197"/>
    </row>
    <row r="208" spans="1:22" x14ac:dyDescent="0.2">
      <c r="A208" s="190" t="s">
        <v>89</v>
      </c>
      <c r="B208" s="284"/>
      <c r="C208" s="298"/>
      <c r="D208" s="298"/>
      <c r="E208" s="298"/>
      <c r="F208" s="298"/>
      <c r="G208" s="154"/>
      <c r="H208" s="154"/>
      <c r="I208" s="298"/>
      <c r="J208" s="298"/>
      <c r="K208" s="298"/>
      <c r="O208" s="221"/>
      <c r="P208" s="203"/>
      <c r="Q208" s="203"/>
      <c r="R208" s="198"/>
      <c r="S208" s="196"/>
      <c r="T208" s="196"/>
      <c r="U208" s="197"/>
      <c r="V208" s="197"/>
    </row>
    <row r="209" spans="1:22" ht="13.5" thickBot="1" x14ac:dyDescent="0.25">
      <c r="A209" s="192" t="s">
        <v>90</v>
      </c>
      <c r="B209" s="284"/>
      <c r="C209" s="298"/>
      <c r="D209" s="298"/>
      <c r="E209" s="298"/>
      <c r="F209" s="305"/>
      <c r="G209" s="154"/>
      <c r="H209" s="154"/>
      <c r="I209" s="298"/>
      <c r="J209" s="298"/>
      <c r="K209" s="298"/>
      <c r="O209" s="221"/>
      <c r="P209" s="203" t="s">
        <v>536</v>
      </c>
      <c r="Q209" s="203" t="s">
        <v>9</v>
      </c>
      <c r="R209" s="198" t="s">
        <v>20</v>
      </c>
      <c r="S209" s="196"/>
      <c r="T209" s="196"/>
      <c r="U209" s="197"/>
      <c r="V209" s="197"/>
    </row>
    <row r="210" spans="1:22" ht="15.75" customHeight="1" thickBot="1" x14ac:dyDescent="0.25">
      <c r="A210" s="199" t="s">
        <v>466</v>
      </c>
      <c r="B210" s="189">
        <f t="shared" ref="B210:B226" si="159">+R210</f>
        <v>8.3000000000000004E-2</v>
      </c>
      <c r="C210" s="210">
        <f t="shared" ref="C210:C226" si="160">P210</f>
        <v>22.17</v>
      </c>
      <c r="D210" s="210">
        <f t="shared" ref="D210:D226" si="161">Q210</f>
        <v>22.83</v>
      </c>
      <c r="E210" s="211">
        <f t="shared" ref="E210:E226" si="162">+D210-C210</f>
        <v>0.65999999999999659</v>
      </c>
      <c r="F210" s="307">
        <f t="shared" ref="F210:F226" si="163">+E210/D210</f>
        <v>2.8909329829171996E-2</v>
      </c>
      <c r="G210" s="211">
        <f t="shared" ref="G210:G226" si="164">+S210</f>
        <v>-1.7532970250610611E-2</v>
      </c>
      <c r="H210" s="211">
        <f t="shared" ref="H210:H226" si="165">+T210</f>
        <v>5.9296761593727536E-2</v>
      </c>
      <c r="I210" s="210">
        <f t="shared" ref="I210:I226" si="166">+C210+G210+H210</f>
        <v>22.21176379134312</v>
      </c>
      <c r="J210" s="211">
        <f t="shared" ref="J210:J226" si="167">+D210+G210+H210</f>
        <v>22.871763791343117</v>
      </c>
      <c r="K210" s="307">
        <f t="shared" ref="K210:K226" si="168">(J210-I210)/I210</f>
        <v>2.9713984274280233E-2</v>
      </c>
      <c r="M210" s="211"/>
      <c r="N210" s="88">
        <v>412</v>
      </c>
      <c r="O210" s="274" t="s">
        <v>139</v>
      </c>
      <c r="P210" s="302">
        <f>VLOOKUP($N210,INPUT!$AB$9:$AF$161,3,FALSE)</f>
        <v>22.17</v>
      </c>
      <c r="Q210" s="302">
        <f>VLOOKUP($N210,INPUT!$AB$9:$AF$161,4,FALSE)</f>
        <v>22.83</v>
      </c>
      <c r="R210" s="198">
        <f>VLOOKUP($N210,INPUT!$AB$9:$AF$161,5,FALSE)</f>
        <v>8.3000000000000004E-2</v>
      </c>
      <c r="S210" s="196">
        <f>($R210*INPUT!$P$60)*INPUT!$G$63</f>
        <v>-1.7532970250610611E-2</v>
      </c>
      <c r="T210" s="196">
        <f>($R210*INPUT!$P$60)*INPUT!$I$63</f>
        <v>5.9296761593727536E-2</v>
      </c>
      <c r="U210" s="197">
        <f t="shared" ref="U210:U211" si="169">+P210+S210+T210</f>
        <v>22.21176379134312</v>
      </c>
      <c r="V210" s="197">
        <f t="shared" ref="V210:V211" si="170">+Q210+S210+T210</f>
        <v>22.871763791343117</v>
      </c>
    </row>
    <row r="211" spans="1:22" ht="15.75" customHeight="1" thickBot="1" x14ac:dyDescent="0.25">
      <c r="A211" s="199" t="s">
        <v>467</v>
      </c>
      <c r="B211" s="189">
        <f t="shared" si="159"/>
        <v>0.11700000000000001</v>
      </c>
      <c r="C211" s="210">
        <f t="shared" si="160"/>
        <v>22.94</v>
      </c>
      <c r="D211" s="210">
        <f t="shared" si="161"/>
        <v>23.62</v>
      </c>
      <c r="E211" s="211">
        <f t="shared" si="162"/>
        <v>0.67999999999999972</v>
      </c>
      <c r="F211" s="307">
        <f t="shared" si="163"/>
        <v>2.8789161727349692E-2</v>
      </c>
      <c r="G211" s="211">
        <f t="shared" si="164"/>
        <v>-2.4715150835198093E-2</v>
      </c>
      <c r="H211" s="211">
        <f t="shared" si="165"/>
        <v>8.3587001282724366E-2</v>
      </c>
      <c r="I211" s="210">
        <f t="shared" si="166"/>
        <v>22.998871850447525</v>
      </c>
      <c r="J211" s="211">
        <f t="shared" si="167"/>
        <v>23.678871850447525</v>
      </c>
      <c r="K211" s="307">
        <f t="shared" si="168"/>
        <v>2.9566667635776575E-2</v>
      </c>
      <c r="M211" s="211"/>
      <c r="N211" s="88">
        <v>413</v>
      </c>
      <c r="O211" s="274" t="s">
        <v>140</v>
      </c>
      <c r="P211" s="302">
        <f>VLOOKUP($N211,INPUT!$AB$9:$AF$161,3,FALSE)</f>
        <v>22.94</v>
      </c>
      <c r="Q211" s="302">
        <f>VLOOKUP($N211,INPUT!$AB$9:$AF$161,4,FALSE)</f>
        <v>23.62</v>
      </c>
      <c r="R211" s="198">
        <f>VLOOKUP($N211,INPUT!$AB$9:$AF$161,5,FALSE)</f>
        <v>0.11700000000000001</v>
      </c>
      <c r="S211" s="196">
        <f>($R211*INPUT!$P$60)*INPUT!$G$63</f>
        <v>-2.4715150835198093E-2</v>
      </c>
      <c r="T211" s="196">
        <f>($R211*INPUT!$P$60)*INPUT!$I$63</f>
        <v>8.3587001282724366E-2</v>
      </c>
      <c r="U211" s="197">
        <f t="shared" si="169"/>
        <v>22.998871850447525</v>
      </c>
      <c r="V211" s="197">
        <f t="shared" si="170"/>
        <v>23.678871850447525</v>
      </c>
    </row>
    <row r="212" spans="1:22" ht="15.75" customHeight="1" thickBot="1" x14ac:dyDescent="0.25">
      <c r="A212" s="199" t="s">
        <v>468</v>
      </c>
      <c r="B212" s="189">
        <f t="shared" si="159"/>
        <v>0.18099999999999999</v>
      </c>
      <c r="C212" s="210">
        <f t="shared" si="160"/>
        <v>22.88</v>
      </c>
      <c r="D212" s="210">
        <f t="shared" si="161"/>
        <v>23.56</v>
      </c>
      <c r="E212" s="211">
        <f t="shared" si="162"/>
        <v>0.67999999999999972</v>
      </c>
      <c r="F212" s="307">
        <f t="shared" si="163"/>
        <v>2.8862478777589122E-2</v>
      </c>
      <c r="G212" s="211">
        <f t="shared" si="164"/>
        <v>-3.8234549582656874E-2</v>
      </c>
      <c r="H212" s="211">
        <f t="shared" si="165"/>
        <v>0.12930980540318898</v>
      </c>
      <c r="I212" s="210">
        <f t="shared" si="166"/>
        <v>22.97107525582053</v>
      </c>
      <c r="J212" s="211">
        <f t="shared" si="167"/>
        <v>23.65107525582053</v>
      </c>
      <c r="K212" s="307">
        <f t="shared" si="168"/>
        <v>2.9602445354737925E-2</v>
      </c>
      <c r="M212" s="211"/>
      <c r="N212" s="88">
        <v>444</v>
      </c>
      <c r="O212" s="274" t="s">
        <v>141</v>
      </c>
      <c r="P212" s="302">
        <f>VLOOKUP($N212,INPUT!$AB$9:$AF$161,3,FALSE)</f>
        <v>22.88</v>
      </c>
      <c r="Q212" s="302">
        <f>VLOOKUP($N212,INPUT!$AB$9:$AF$161,4,FALSE)</f>
        <v>23.56</v>
      </c>
      <c r="R212" s="198">
        <f>VLOOKUP($N212,INPUT!$AB$9:$AF$161,5,FALSE)</f>
        <v>0.18099999999999999</v>
      </c>
      <c r="S212" s="196">
        <f>($R212*INPUT!$P$60)*INPUT!$G$63</f>
        <v>-3.8234549582656874E-2</v>
      </c>
      <c r="T212" s="196">
        <f>($R212*INPUT!$P$60)*INPUT!$I$63</f>
        <v>0.12930980540318898</v>
      </c>
      <c r="U212" s="197">
        <f t="shared" ref="U212" si="171">+P212+S212+T212</f>
        <v>22.97107525582053</v>
      </c>
      <c r="V212" s="197">
        <f t="shared" ref="V212" si="172">+Q212+S212+T212</f>
        <v>23.65107525582053</v>
      </c>
    </row>
    <row r="213" spans="1:22" ht="15.75" customHeight="1" thickBot="1" x14ac:dyDescent="0.25">
      <c r="A213" s="199" t="s">
        <v>469</v>
      </c>
      <c r="B213" s="189">
        <f t="shared" si="159"/>
        <v>8.3000000000000004E-2</v>
      </c>
      <c r="C213" s="210">
        <f t="shared" si="160"/>
        <v>22.57</v>
      </c>
      <c r="D213" s="210">
        <f t="shared" si="161"/>
        <v>23.24</v>
      </c>
      <c r="E213" s="211">
        <f t="shared" si="162"/>
        <v>0.66999999999999815</v>
      </c>
      <c r="F213" s="307">
        <f t="shared" si="163"/>
        <v>2.8829604130808872E-2</v>
      </c>
      <c r="G213" s="211">
        <f t="shared" si="164"/>
        <v>-1.7532970250610611E-2</v>
      </c>
      <c r="H213" s="211">
        <f t="shared" si="165"/>
        <v>5.9296761593727536E-2</v>
      </c>
      <c r="I213" s="210">
        <f t="shared" si="166"/>
        <v>22.611763791343119</v>
      </c>
      <c r="J213" s="211">
        <f t="shared" si="167"/>
        <v>23.281763791343117</v>
      </c>
      <c r="K213" s="307">
        <f t="shared" si="168"/>
        <v>2.9630594330571712E-2</v>
      </c>
      <c r="M213" s="211"/>
      <c r="N213" s="88">
        <v>415</v>
      </c>
      <c r="O213" s="274" t="s">
        <v>142</v>
      </c>
      <c r="P213" s="302">
        <f>VLOOKUP($N213,INPUT!$AB$9:$AF$161,3,FALSE)</f>
        <v>22.57</v>
      </c>
      <c r="Q213" s="302">
        <f>VLOOKUP($N213,INPUT!$AB$9:$AF$161,4,FALSE)</f>
        <v>23.24</v>
      </c>
      <c r="R213" s="198">
        <f>VLOOKUP($N213,INPUT!$AB$9:$AF$161,5,FALSE)</f>
        <v>8.3000000000000004E-2</v>
      </c>
      <c r="S213" s="196">
        <f>($R213*INPUT!$P$60)*INPUT!$G$63</f>
        <v>-1.7532970250610611E-2</v>
      </c>
      <c r="T213" s="196">
        <f>($R213*INPUT!$P$60)*INPUT!$I$63</f>
        <v>5.9296761593727536E-2</v>
      </c>
      <c r="U213" s="197">
        <f t="shared" ref="U213:U226" si="173">+P213+S213+T213</f>
        <v>22.611763791343119</v>
      </c>
      <c r="V213" s="197">
        <f t="shared" ref="V213:V226" si="174">+Q213+S213+T213</f>
        <v>23.281763791343117</v>
      </c>
    </row>
    <row r="214" spans="1:22" ht="15.75" customHeight="1" thickBot="1" x14ac:dyDescent="0.25">
      <c r="A214" s="199" t="s">
        <v>470</v>
      </c>
      <c r="B214" s="189">
        <f t="shared" si="159"/>
        <v>0.11700000000000001</v>
      </c>
      <c r="C214" s="210">
        <f t="shared" si="160"/>
        <v>25.06</v>
      </c>
      <c r="D214" s="210">
        <f t="shared" si="161"/>
        <v>25.8</v>
      </c>
      <c r="E214" s="211">
        <f t="shared" si="162"/>
        <v>0.74000000000000199</v>
      </c>
      <c r="F214" s="307">
        <f t="shared" si="163"/>
        <v>2.8682170542635735E-2</v>
      </c>
      <c r="G214" s="211">
        <f t="shared" si="164"/>
        <v>-2.4715150835198093E-2</v>
      </c>
      <c r="H214" s="211">
        <f t="shared" si="165"/>
        <v>8.3587001282724366E-2</v>
      </c>
      <c r="I214" s="210">
        <f t="shared" si="166"/>
        <v>25.118871850447523</v>
      </c>
      <c r="J214" s="211">
        <f t="shared" si="167"/>
        <v>25.858871850447525</v>
      </c>
      <c r="K214" s="307">
        <f t="shared" si="168"/>
        <v>2.9459921783343068E-2</v>
      </c>
      <c r="M214" s="211"/>
      <c r="N214" s="88">
        <v>416</v>
      </c>
      <c r="O214" s="274" t="s">
        <v>143</v>
      </c>
      <c r="P214" s="302">
        <f>VLOOKUP($N214,INPUT!$AB$9:$AF$161,3,FALSE)</f>
        <v>25.06</v>
      </c>
      <c r="Q214" s="302">
        <f>VLOOKUP($N214,INPUT!$AB$9:$AF$161,4,FALSE)</f>
        <v>25.8</v>
      </c>
      <c r="R214" s="198">
        <f>VLOOKUP($N214,INPUT!$AB$9:$AF$161,5,FALSE)</f>
        <v>0.11700000000000001</v>
      </c>
      <c r="S214" s="196">
        <f>($R214*INPUT!$P$60)*INPUT!$G$63</f>
        <v>-2.4715150835198093E-2</v>
      </c>
      <c r="T214" s="196">
        <f>($R214*INPUT!$P$60)*INPUT!$I$63</f>
        <v>8.3587001282724366E-2</v>
      </c>
      <c r="U214" s="197">
        <f t="shared" si="173"/>
        <v>25.118871850447523</v>
      </c>
      <c r="V214" s="197">
        <f t="shared" si="174"/>
        <v>25.858871850447525</v>
      </c>
    </row>
    <row r="215" spans="1:22" ht="15.75" customHeight="1" thickBot="1" x14ac:dyDescent="0.25">
      <c r="A215" s="199" t="s">
        <v>471</v>
      </c>
      <c r="B215" s="189">
        <f t="shared" si="159"/>
        <v>0.18099999999999999</v>
      </c>
      <c r="C215" s="210">
        <f t="shared" si="160"/>
        <v>24.87</v>
      </c>
      <c r="D215" s="210">
        <f t="shared" si="161"/>
        <v>25.61</v>
      </c>
      <c r="E215" s="211">
        <f t="shared" si="162"/>
        <v>0.73999999999999844</v>
      </c>
      <c r="F215" s="307">
        <f t="shared" si="163"/>
        <v>2.8894962905115128E-2</v>
      </c>
      <c r="G215" s="211">
        <f t="shared" si="164"/>
        <v>-3.8234549582656874E-2</v>
      </c>
      <c r="H215" s="211">
        <f t="shared" si="165"/>
        <v>0.12930980540318898</v>
      </c>
      <c r="I215" s="210">
        <f t="shared" si="166"/>
        <v>24.961075255820532</v>
      </c>
      <c r="J215" s="211">
        <f t="shared" si="167"/>
        <v>25.70107525582053</v>
      </c>
      <c r="K215" s="307">
        <f t="shared" si="168"/>
        <v>2.9646158765834499E-2</v>
      </c>
      <c r="M215" s="211"/>
      <c r="N215" s="88">
        <v>445</v>
      </c>
      <c r="O215" s="274" t="s">
        <v>144</v>
      </c>
      <c r="P215" s="302">
        <f>VLOOKUP($N215,INPUT!$AB$9:$AF$161,3,FALSE)</f>
        <v>24.87</v>
      </c>
      <c r="Q215" s="302">
        <f>VLOOKUP($N215,INPUT!$AB$9:$AF$161,4,FALSE)</f>
        <v>25.61</v>
      </c>
      <c r="R215" s="198">
        <f>VLOOKUP($N215,INPUT!$AB$9:$AF$161,5,FALSE)</f>
        <v>0.18099999999999999</v>
      </c>
      <c r="S215" s="196">
        <f>($R215*INPUT!$P$60)*INPUT!$G$63</f>
        <v>-3.8234549582656874E-2</v>
      </c>
      <c r="T215" s="196">
        <f>($R215*INPUT!$P$60)*INPUT!$I$63</f>
        <v>0.12930980540318898</v>
      </c>
      <c r="U215" s="197">
        <f t="shared" si="173"/>
        <v>24.961075255820532</v>
      </c>
      <c r="V215" s="197">
        <f t="shared" si="174"/>
        <v>25.70107525582053</v>
      </c>
    </row>
    <row r="216" spans="1:22" ht="15.75" customHeight="1" thickBot="1" x14ac:dyDescent="0.25">
      <c r="A216" s="199" t="s">
        <v>472</v>
      </c>
      <c r="B216" s="189">
        <f t="shared" si="159"/>
        <v>0.06</v>
      </c>
      <c r="C216" s="210">
        <f t="shared" si="160"/>
        <v>26.56</v>
      </c>
      <c r="D216" s="210">
        <f t="shared" si="161"/>
        <v>27.35</v>
      </c>
      <c r="E216" s="211">
        <f t="shared" si="162"/>
        <v>0.7900000000000027</v>
      </c>
      <c r="F216" s="307">
        <f t="shared" si="163"/>
        <v>2.8884826325411433E-2</v>
      </c>
      <c r="G216" s="211">
        <f t="shared" si="164"/>
        <v>-1.2674436325742609E-2</v>
      </c>
      <c r="H216" s="211">
        <f t="shared" si="165"/>
        <v>4.2865128862935566E-2</v>
      </c>
      <c r="I216" s="210">
        <f t="shared" si="166"/>
        <v>26.590190692537192</v>
      </c>
      <c r="J216" s="211">
        <f t="shared" si="167"/>
        <v>27.380190692537195</v>
      </c>
      <c r="K216" s="307">
        <f t="shared" si="168"/>
        <v>2.9710204380810411E-2</v>
      </c>
      <c r="M216" s="211"/>
      <c r="N216" s="88">
        <v>400</v>
      </c>
      <c r="O216" s="274" t="s">
        <v>149</v>
      </c>
      <c r="P216" s="302">
        <f>VLOOKUP($N216,INPUT!$AB$9:$AF$161,3,FALSE)</f>
        <v>26.56</v>
      </c>
      <c r="Q216" s="302">
        <f>VLOOKUP($N216,INPUT!$AB$9:$AF$161,4,FALSE)</f>
        <v>27.35</v>
      </c>
      <c r="R216" s="198">
        <f>VLOOKUP($N216,INPUT!$AB$9:$AF$161,5,FALSE)</f>
        <v>0.06</v>
      </c>
      <c r="S216" s="196">
        <f>($R216*INPUT!$P$60)*INPUT!$G$63</f>
        <v>-1.2674436325742609E-2</v>
      </c>
      <c r="T216" s="196">
        <f>($R216*INPUT!$P$60)*INPUT!$I$63</f>
        <v>4.2865128862935566E-2</v>
      </c>
      <c r="U216" s="197">
        <f t="shared" si="173"/>
        <v>26.590190692537192</v>
      </c>
      <c r="V216" s="197">
        <f t="shared" si="174"/>
        <v>27.380190692537195</v>
      </c>
    </row>
    <row r="217" spans="1:22" ht="15.75" customHeight="1" thickBot="1" x14ac:dyDescent="0.25">
      <c r="A217" s="199" t="s">
        <v>473</v>
      </c>
      <c r="B217" s="189">
        <f t="shared" si="159"/>
        <v>0.11700000000000001</v>
      </c>
      <c r="C217" s="210">
        <f t="shared" si="160"/>
        <v>26.83</v>
      </c>
      <c r="D217" s="210">
        <f t="shared" si="161"/>
        <v>27.63</v>
      </c>
      <c r="E217" s="211">
        <f t="shared" si="162"/>
        <v>0.80000000000000071</v>
      </c>
      <c r="F217" s="307">
        <f t="shared" si="163"/>
        <v>2.8954035468693476E-2</v>
      </c>
      <c r="G217" s="211">
        <f t="shared" si="164"/>
        <v>-2.4715150835198093E-2</v>
      </c>
      <c r="H217" s="211">
        <f t="shared" si="165"/>
        <v>8.3587001282724366E-2</v>
      </c>
      <c r="I217" s="210">
        <f t="shared" si="166"/>
        <v>26.888871850447522</v>
      </c>
      <c r="J217" s="211">
        <f t="shared" si="167"/>
        <v>27.688871850447523</v>
      </c>
      <c r="K217" s="307">
        <f t="shared" si="168"/>
        <v>2.9752084968439684E-2</v>
      </c>
      <c r="M217" s="211"/>
      <c r="N217" s="88">
        <v>401</v>
      </c>
      <c r="O217" s="274" t="s">
        <v>150</v>
      </c>
      <c r="P217" s="302">
        <f>VLOOKUP($N217,INPUT!$AB$9:$AF$161,3,FALSE)</f>
        <v>26.83</v>
      </c>
      <c r="Q217" s="302">
        <f>VLOOKUP($N217,INPUT!$AB$9:$AF$161,4,FALSE)</f>
        <v>27.63</v>
      </c>
      <c r="R217" s="198">
        <f>VLOOKUP($N217,INPUT!$AB$9:$AF$161,5,FALSE)</f>
        <v>0.11700000000000001</v>
      </c>
      <c r="S217" s="196">
        <f>($R217*INPUT!$P$60)*INPUT!$G$63</f>
        <v>-2.4715150835198093E-2</v>
      </c>
      <c r="T217" s="196">
        <f>($R217*INPUT!$P$60)*INPUT!$I$63</f>
        <v>8.3587001282724366E-2</v>
      </c>
      <c r="U217" s="197">
        <f t="shared" si="173"/>
        <v>26.888871850447522</v>
      </c>
      <c r="V217" s="197">
        <f t="shared" si="174"/>
        <v>27.688871850447523</v>
      </c>
    </row>
    <row r="218" spans="1:22" ht="15.75" customHeight="1" thickBot="1" x14ac:dyDescent="0.25">
      <c r="A218" s="199" t="s">
        <v>474</v>
      </c>
      <c r="B218" s="189">
        <f t="shared" si="159"/>
        <v>0.18099999999999999</v>
      </c>
      <c r="C218" s="210">
        <f t="shared" si="160"/>
        <v>29.16</v>
      </c>
      <c r="D218" s="210">
        <f t="shared" si="161"/>
        <v>30.03</v>
      </c>
      <c r="E218" s="211">
        <f t="shared" si="162"/>
        <v>0.87000000000000099</v>
      </c>
      <c r="F218" s="307">
        <f t="shared" si="163"/>
        <v>2.8971028971029003E-2</v>
      </c>
      <c r="G218" s="211">
        <f t="shared" si="164"/>
        <v>-3.8234549582656874E-2</v>
      </c>
      <c r="H218" s="211">
        <f t="shared" si="165"/>
        <v>0.12930980540318898</v>
      </c>
      <c r="I218" s="210">
        <f t="shared" si="166"/>
        <v>29.251075255820531</v>
      </c>
      <c r="J218" s="211">
        <f t="shared" si="167"/>
        <v>30.121075255820532</v>
      </c>
      <c r="K218" s="307">
        <f t="shared" si="168"/>
        <v>2.9742496383167449E-2</v>
      </c>
      <c r="M218" s="211"/>
      <c r="N218" s="88">
        <v>423</v>
      </c>
      <c r="O218" s="274" t="s">
        <v>151</v>
      </c>
      <c r="P218" s="302">
        <f>VLOOKUP($N218,INPUT!$AB$9:$AF$161,3,FALSE)</f>
        <v>29.16</v>
      </c>
      <c r="Q218" s="302">
        <f>VLOOKUP($N218,INPUT!$AB$9:$AF$161,4,FALSE)</f>
        <v>30.03</v>
      </c>
      <c r="R218" s="198">
        <f>VLOOKUP($N218,INPUT!$AB$9:$AF$161,5,FALSE)</f>
        <v>0.18099999999999999</v>
      </c>
      <c r="S218" s="196">
        <f>($R218*INPUT!$P$60)*INPUT!$G$63</f>
        <v>-3.8234549582656874E-2</v>
      </c>
      <c r="T218" s="196">
        <f>($R218*INPUT!$P$60)*INPUT!$I$63</f>
        <v>0.12930980540318898</v>
      </c>
      <c r="U218" s="197">
        <f t="shared" si="173"/>
        <v>29.251075255820531</v>
      </c>
      <c r="V218" s="197">
        <f t="shared" si="174"/>
        <v>30.121075255820532</v>
      </c>
    </row>
    <row r="219" spans="1:22" ht="15.75" customHeight="1" thickBot="1" x14ac:dyDescent="0.25">
      <c r="A219" s="199" t="s">
        <v>475</v>
      </c>
      <c r="B219" s="189">
        <f t="shared" si="159"/>
        <v>0.29399999999999998</v>
      </c>
      <c r="C219" s="210">
        <f t="shared" si="160"/>
        <v>31.51</v>
      </c>
      <c r="D219" s="210">
        <f t="shared" si="161"/>
        <v>32.450000000000003</v>
      </c>
      <c r="E219" s="211">
        <f t="shared" si="162"/>
        <v>0.94000000000000128</v>
      </c>
      <c r="F219" s="307">
        <f t="shared" si="163"/>
        <v>2.8967642526964599E-2</v>
      </c>
      <c r="G219" s="211">
        <f t="shared" si="164"/>
        <v>-6.2104737996138783E-2</v>
      </c>
      <c r="H219" s="211">
        <f t="shared" si="165"/>
        <v>0.21003913142838426</v>
      </c>
      <c r="I219" s="210">
        <f t="shared" si="166"/>
        <v>31.657934393432246</v>
      </c>
      <c r="J219" s="211">
        <f t="shared" si="167"/>
        <v>32.597934393432247</v>
      </c>
      <c r="K219" s="307">
        <f t="shared" si="168"/>
        <v>2.969239838323165E-2</v>
      </c>
      <c r="M219" s="211"/>
      <c r="N219" s="88">
        <v>424</v>
      </c>
      <c r="O219" s="274" t="s">
        <v>152</v>
      </c>
      <c r="P219" s="302">
        <f>VLOOKUP($N219,INPUT!$AB$9:$AF$161,3,FALSE)</f>
        <v>31.51</v>
      </c>
      <c r="Q219" s="302">
        <f>VLOOKUP($N219,INPUT!$AB$9:$AF$161,4,FALSE)</f>
        <v>32.450000000000003</v>
      </c>
      <c r="R219" s="198">
        <f>VLOOKUP($N219,INPUT!$AB$9:$AF$161,5,FALSE)</f>
        <v>0.29399999999999998</v>
      </c>
      <c r="S219" s="196">
        <f>($R219*INPUT!$P$60)*INPUT!$G$63</f>
        <v>-6.2104737996138783E-2</v>
      </c>
      <c r="T219" s="196">
        <f>($R219*INPUT!$P$60)*INPUT!$I$63</f>
        <v>0.21003913142838426</v>
      </c>
      <c r="U219" s="197">
        <f t="shared" si="173"/>
        <v>31.657934393432246</v>
      </c>
      <c r="V219" s="197">
        <f t="shared" si="174"/>
        <v>32.597934393432247</v>
      </c>
    </row>
    <row r="220" spans="1:22" ht="15.75" customHeight="1" thickBot="1" x14ac:dyDescent="0.25">
      <c r="A220" s="199" t="s">
        <v>476</v>
      </c>
      <c r="B220" s="189">
        <f t="shared" si="159"/>
        <v>0.47099999999999997</v>
      </c>
      <c r="C220" s="210">
        <f t="shared" si="160"/>
        <v>37.39</v>
      </c>
      <c r="D220" s="210">
        <f t="shared" si="161"/>
        <v>38.5</v>
      </c>
      <c r="E220" s="211">
        <f t="shared" si="162"/>
        <v>1.1099999999999994</v>
      </c>
      <c r="F220" s="307">
        <f t="shared" si="163"/>
        <v>2.8831168831168815E-2</v>
      </c>
      <c r="G220" s="211">
        <f t="shared" si="164"/>
        <v>-9.9494325157079483E-2</v>
      </c>
      <c r="H220" s="211">
        <f t="shared" si="165"/>
        <v>0.33649126157404419</v>
      </c>
      <c r="I220" s="210">
        <f t="shared" si="166"/>
        <v>37.626996936416965</v>
      </c>
      <c r="J220" s="211">
        <f t="shared" si="167"/>
        <v>38.736996936416965</v>
      </c>
      <c r="K220" s="307">
        <f t="shared" si="168"/>
        <v>2.9500095420203345E-2</v>
      </c>
      <c r="M220" s="211"/>
      <c r="N220" s="88">
        <v>425</v>
      </c>
      <c r="O220" s="274" t="s">
        <v>153</v>
      </c>
      <c r="P220" s="302">
        <f>VLOOKUP($N220,INPUT!$AB$9:$AF$161,3,FALSE)</f>
        <v>37.39</v>
      </c>
      <c r="Q220" s="302">
        <f>VLOOKUP($N220,INPUT!$AB$9:$AF$161,4,FALSE)</f>
        <v>38.5</v>
      </c>
      <c r="R220" s="198">
        <f>VLOOKUP($N220,INPUT!$AB$9:$AF$161,5,FALSE)</f>
        <v>0.47099999999999997</v>
      </c>
      <c r="S220" s="196">
        <f>($R220*INPUT!$P$60)*INPUT!$G$63</f>
        <v>-9.9494325157079483E-2</v>
      </c>
      <c r="T220" s="196">
        <f>($R220*INPUT!$P$60)*INPUT!$I$63</f>
        <v>0.33649126157404419</v>
      </c>
      <c r="U220" s="197">
        <f t="shared" si="173"/>
        <v>37.626996936416965</v>
      </c>
      <c r="V220" s="197">
        <f t="shared" si="174"/>
        <v>38.736996936416965</v>
      </c>
    </row>
    <row r="221" spans="1:22" ht="15.75" customHeight="1" thickBot="1" x14ac:dyDescent="0.25">
      <c r="A221" s="199" t="s">
        <v>478</v>
      </c>
      <c r="B221" s="189">
        <f t="shared" si="159"/>
        <v>0.18099999999999999</v>
      </c>
      <c r="C221" s="210">
        <f t="shared" si="160"/>
        <v>18.079999999999998</v>
      </c>
      <c r="D221" s="210">
        <f t="shared" si="161"/>
        <v>18.62</v>
      </c>
      <c r="E221" s="211">
        <f t="shared" si="162"/>
        <v>0.5400000000000027</v>
      </c>
      <c r="F221" s="307">
        <f t="shared" si="163"/>
        <v>2.9001074113856211E-2</v>
      </c>
      <c r="G221" s="211">
        <f t="shared" si="164"/>
        <v>-3.8234549582656874E-2</v>
      </c>
      <c r="H221" s="211">
        <f t="shared" si="165"/>
        <v>0.12930980540318898</v>
      </c>
      <c r="I221" s="210">
        <f t="shared" si="166"/>
        <v>18.171075255820529</v>
      </c>
      <c r="J221" s="211">
        <f t="shared" si="167"/>
        <v>18.711075255820532</v>
      </c>
      <c r="K221" s="307">
        <f t="shared" si="168"/>
        <v>2.9717558944511595E-2</v>
      </c>
      <c r="M221" s="211"/>
      <c r="N221" s="88">
        <v>439</v>
      </c>
      <c r="O221" s="274" t="s">
        <v>154</v>
      </c>
      <c r="P221" s="302">
        <f>VLOOKUP($N221,INPUT!$AB$9:$AF$161,3,FALSE)</f>
        <v>18.079999999999998</v>
      </c>
      <c r="Q221" s="302">
        <f>VLOOKUP($N221,INPUT!$AB$9:$AF$161,4,FALSE)</f>
        <v>18.62</v>
      </c>
      <c r="R221" s="198">
        <f>VLOOKUP($N221,INPUT!$AB$9:$AF$161,5,FALSE)</f>
        <v>0.18099999999999999</v>
      </c>
      <c r="S221" s="196">
        <f>($R221*INPUT!$P$60)*INPUT!$G$63</f>
        <v>-3.8234549582656874E-2</v>
      </c>
      <c r="T221" s="196">
        <f>($R221*INPUT!$P$60)*INPUT!$I$63</f>
        <v>0.12930980540318898</v>
      </c>
      <c r="U221" s="197">
        <f t="shared" si="173"/>
        <v>18.171075255820529</v>
      </c>
      <c r="V221" s="197">
        <f t="shared" si="174"/>
        <v>18.711075255820532</v>
      </c>
    </row>
    <row r="222" spans="1:22" ht="15.75" customHeight="1" thickBot="1" x14ac:dyDescent="0.25">
      <c r="A222" s="199" t="s">
        <v>477</v>
      </c>
      <c r="B222" s="189">
        <f t="shared" si="159"/>
        <v>0.18099999999999999</v>
      </c>
      <c r="C222" s="210">
        <f t="shared" si="160"/>
        <v>32.86</v>
      </c>
      <c r="D222" s="210">
        <f t="shared" si="161"/>
        <v>33.840000000000003</v>
      </c>
      <c r="E222" s="211">
        <f t="shared" si="162"/>
        <v>0.98000000000000398</v>
      </c>
      <c r="F222" s="307">
        <f t="shared" si="163"/>
        <v>2.8959810874704606E-2</v>
      </c>
      <c r="G222" s="211">
        <f t="shared" si="164"/>
        <v>-3.8234549582656874E-2</v>
      </c>
      <c r="H222" s="211">
        <f t="shared" si="165"/>
        <v>0.12930980540318898</v>
      </c>
      <c r="I222" s="210">
        <f t="shared" si="166"/>
        <v>32.951075255820534</v>
      </c>
      <c r="J222" s="211">
        <f t="shared" si="167"/>
        <v>33.931075255820538</v>
      </c>
      <c r="K222" s="307">
        <f t="shared" si="168"/>
        <v>2.9741062845191832E-2</v>
      </c>
      <c r="M222" s="211"/>
      <c r="N222" s="88">
        <v>420</v>
      </c>
      <c r="O222" s="274" t="s">
        <v>155</v>
      </c>
      <c r="P222" s="302">
        <f>VLOOKUP($N222,INPUT!$AB$9:$AF$161,3,FALSE)</f>
        <v>32.86</v>
      </c>
      <c r="Q222" s="302">
        <f>VLOOKUP($N222,INPUT!$AB$9:$AF$161,4,FALSE)</f>
        <v>33.840000000000003</v>
      </c>
      <c r="R222" s="198">
        <f>VLOOKUP($N222,INPUT!$AB$9:$AF$161,5,FALSE)</f>
        <v>0.18099999999999999</v>
      </c>
      <c r="S222" s="196">
        <f>($R222*INPUT!$P$60)*INPUT!$G$63</f>
        <v>-3.8234549582656874E-2</v>
      </c>
      <c r="T222" s="196">
        <f>($R222*INPUT!$P$60)*INPUT!$I$63</f>
        <v>0.12930980540318898</v>
      </c>
      <c r="U222" s="197">
        <f t="shared" si="173"/>
        <v>32.951075255820534</v>
      </c>
      <c r="V222" s="197">
        <f t="shared" si="174"/>
        <v>33.931075255820538</v>
      </c>
    </row>
    <row r="223" spans="1:22" ht="15.75" customHeight="1" thickBot="1" x14ac:dyDescent="0.25">
      <c r="A223" s="199" t="s">
        <v>479</v>
      </c>
      <c r="B223" s="189">
        <f t="shared" si="159"/>
        <v>0.29399999999999998</v>
      </c>
      <c r="C223" s="210">
        <f t="shared" si="160"/>
        <v>20.05</v>
      </c>
      <c r="D223" s="210">
        <f t="shared" si="161"/>
        <v>20.65</v>
      </c>
      <c r="E223" s="211">
        <f t="shared" si="162"/>
        <v>0.59999999999999787</v>
      </c>
      <c r="F223" s="307">
        <f t="shared" si="163"/>
        <v>2.9055690072639122E-2</v>
      </c>
      <c r="G223" s="212">
        <f t="shared" si="164"/>
        <v>-6.2104737996138783E-2</v>
      </c>
      <c r="H223" s="211">
        <f t="shared" si="165"/>
        <v>0.21003913142838426</v>
      </c>
      <c r="I223" s="210">
        <f t="shared" si="166"/>
        <v>20.197934393432245</v>
      </c>
      <c r="J223" s="211">
        <f t="shared" si="167"/>
        <v>20.797934393432243</v>
      </c>
      <c r="K223" s="307">
        <f t="shared" si="168"/>
        <v>2.9706007966591855E-2</v>
      </c>
      <c r="M223" s="211"/>
      <c r="N223" s="88">
        <v>440</v>
      </c>
      <c r="O223" s="274" t="s">
        <v>156</v>
      </c>
      <c r="P223" s="302">
        <f>VLOOKUP($N223,INPUT!$AB$9:$AF$161,3,FALSE)</f>
        <v>20.05</v>
      </c>
      <c r="Q223" s="302">
        <f>VLOOKUP($N223,INPUT!$AB$9:$AF$161,4,FALSE)</f>
        <v>20.65</v>
      </c>
      <c r="R223" s="198">
        <f>VLOOKUP($N223,INPUT!$AB$9:$AF$161,5,FALSE)</f>
        <v>0.29399999999999998</v>
      </c>
      <c r="S223" s="196">
        <f>($R223*INPUT!$P$60)*INPUT!$G$63</f>
        <v>-6.2104737996138783E-2</v>
      </c>
      <c r="T223" s="196">
        <f>($R223*INPUT!$P$60)*INPUT!$I$63</f>
        <v>0.21003913142838426</v>
      </c>
      <c r="U223" s="197">
        <f t="shared" si="173"/>
        <v>20.197934393432245</v>
      </c>
      <c r="V223" s="197">
        <f t="shared" si="174"/>
        <v>20.797934393432243</v>
      </c>
    </row>
    <row r="224" spans="1:22" ht="15.75" customHeight="1" thickBot="1" x14ac:dyDescent="0.25">
      <c r="A224" s="199" t="s">
        <v>480</v>
      </c>
      <c r="B224" s="189">
        <f t="shared" si="159"/>
        <v>0.29399999999999998</v>
      </c>
      <c r="C224" s="210">
        <f t="shared" si="160"/>
        <v>35.479999999999997</v>
      </c>
      <c r="D224" s="210">
        <f t="shared" si="161"/>
        <v>36.53</v>
      </c>
      <c r="E224" s="211">
        <f t="shared" si="162"/>
        <v>1.0500000000000043</v>
      </c>
      <c r="F224" s="307">
        <f t="shared" si="163"/>
        <v>2.874349849438829E-2</v>
      </c>
      <c r="G224" s="212">
        <f t="shared" si="164"/>
        <v>-6.2104737996138783E-2</v>
      </c>
      <c r="H224" s="211">
        <f t="shared" si="165"/>
        <v>0.21003913142838426</v>
      </c>
      <c r="I224" s="210">
        <f t="shared" si="166"/>
        <v>35.627934393432241</v>
      </c>
      <c r="J224" s="211">
        <f t="shared" si="167"/>
        <v>36.677934393432245</v>
      </c>
      <c r="K224" s="307">
        <f t="shared" si="168"/>
        <v>2.9471256694397763E-2</v>
      </c>
      <c r="M224" s="211"/>
      <c r="N224" s="88">
        <v>421</v>
      </c>
      <c r="O224" s="274" t="s">
        <v>157</v>
      </c>
      <c r="P224" s="302">
        <f>VLOOKUP($N224,INPUT!$AB$9:$AF$161,3,FALSE)</f>
        <v>35.479999999999997</v>
      </c>
      <c r="Q224" s="302">
        <f>VLOOKUP($N224,INPUT!$AB$9:$AF$161,4,FALSE)</f>
        <v>36.53</v>
      </c>
      <c r="R224" s="198">
        <f>VLOOKUP($N224,INPUT!$AB$9:$AF$161,5,FALSE)</f>
        <v>0.29399999999999998</v>
      </c>
      <c r="S224" s="196">
        <f>($R224*INPUT!$P$60)*INPUT!$G$63</f>
        <v>-6.2104737996138783E-2</v>
      </c>
      <c r="T224" s="196">
        <f>($R224*INPUT!$P$60)*INPUT!$I$63</f>
        <v>0.21003913142838426</v>
      </c>
      <c r="U224" s="197">
        <f t="shared" si="173"/>
        <v>35.627934393432241</v>
      </c>
      <c r="V224" s="197">
        <f t="shared" si="174"/>
        <v>36.677934393432245</v>
      </c>
    </row>
    <row r="225" spans="1:22" ht="15.75" customHeight="1" thickBot="1" x14ac:dyDescent="0.25">
      <c r="A225" s="199" t="s">
        <v>481</v>
      </c>
      <c r="B225" s="189">
        <f t="shared" si="159"/>
        <v>0.47099999999999997</v>
      </c>
      <c r="C225" s="210">
        <f t="shared" si="160"/>
        <v>24.14</v>
      </c>
      <c r="D225" s="210">
        <f t="shared" si="161"/>
        <v>24.86</v>
      </c>
      <c r="E225" s="211">
        <f t="shared" si="162"/>
        <v>0.71999999999999886</v>
      </c>
      <c r="F225" s="307">
        <f t="shared" si="163"/>
        <v>2.8962188254223607E-2</v>
      </c>
      <c r="G225" s="211">
        <f t="shared" si="164"/>
        <v>-9.9494325157079483E-2</v>
      </c>
      <c r="H225" s="211">
        <f t="shared" si="165"/>
        <v>0.33649126157404419</v>
      </c>
      <c r="I225" s="210">
        <f t="shared" si="166"/>
        <v>24.376996936416965</v>
      </c>
      <c r="J225" s="211">
        <f t="shared" si="167"/>
        <v>25.096996936416964</v>
      </c>
      <c r="K225" s="307">
        <f t="shared" si="168"/>
        <v>2.9536041780617604E-2</v>
      </c>
      <c r="M225" s="211"/>
      <c r="N225" s="88">
        <v>441</v>
      </c>
      <c r="O225" s="274" t="s">
        <v>158</v>
      </c>
      <c r="P225" s="302">
        <f>VLOOKUP($N225,INPUT!$AB$9:$AF$161,3,FALSE)</f>
        <v>24.14</v>
      </c>
      <c r="Q225" s="302">
        <f>VLOOKUP($N225,INPUT!$AB$9:$AF$161,4,FALSE)</f>
        <v>24.86</v>
      </c>
      <c r="R225" s="198">
        <f>VLOOKUP($N225,INPUT!$AB$9:$AF$161,5,FALSE)</f>
        <v>0.47099999999999997</v>
      </c>
      <c r="S225" s="196">
        <f>($R225*INPUT!$P$60)*INPUT!$G$63</f>
        <v>-9.9494325157079483E-2</v>
      </c>
      <c r="T225" s="196">
        <f>($R225*INPUT!$P$60)*INPUT!$I$63</f>
        <v>0.33649126157404419</v>
      </c>
      <c r="U225" s="197">
        <f t="shared" si="173"/>
        <v>24.376996936416965</v>
      </c>
      <c r="V225" s="197">
        <f t="shared" si="174"/>
        <v>25.096996936416964</v>
      </c>
    </row>
    <row r="226" spans="1:22" ht="15.75" customHeight="1" thickBot="1" x14ac:dyDescent="0.25">
      <c r="A226" s="199" t="s">
        <v>482</v>
      </c>
      <c r="B226" s="189">
        <f t="shared" si="159"/>
        <v>0.47099999999999997</v>
      </c>
      <c r="C226" s="210">
        <f t="shared" si="160"/>
        <v>41.19</v>
      </c>
      <c r="D226" s="210">
        <f t="shared" si="161"/>
        <v>42.41</v>
      </c>
      <c r="E226" s="211">
        <f t="shared" si="162"/>
        <v>1.2199999999999989</v>
      </c>
      <c r="F226" s="307">
        <f t="shared" si="163"/>
        <v>2.8766800282952108E-2</v>
      </c>
      <c r="G226" s="211">
        <f t="shared" si="164"/>
        <v>-9.9494325157079483E-2</v>
      </c>
      <c r="H226" s="211">
        <f t="shared" si="165"/>
        <v>0.33649126157404419</v>
      </c>
      <c r="I226" s="210">
        <f t="shared" si="166"/>
        <v>41.426996936416963</v>
      </c>
      <c r="J226" s="211">
        <f t="shared" si="167"/>
        <v>42.646996936416961</v>
      </c>
      <c r="K226" s="307">
        <f t="shared" si="168"/>
        <v>2.944939508582968E-2</v>
      </c>
      <c r="M226" s="211"/>
      <c r="N226" s="88">
        <v>422</v>
      </c>
      <c r="O226" s="274" t="s">
        <v>159</v>
      </c>
      <c r="P226" s="302">
        <f>VLOOKUP($N226,INPUT!$AB$9:$AF$161,3,FALSE)</f>
        <v>41.19</v>
      </c>
      <c r="Q226" s="302">
        <f>VLOOKUP($N226,INPUT!$AB$9:$AF$161,4,FALSE)</f>
        <v>42.41</v>
      </c>
      <c r="R226" s="198">
        <f>VLOOKUP($N226,INPUT!$AB$9:$AF$161,5,FALSE)</f>
        <v>0.47099999999999997</v>
      </c>
      <c r="S226" s="196">
        <f>($R226*INPUT!$P$60)*INPUT!$G$63</f>
        <v>-9.9494325157079483E-2</v>
      </c>
      <c r="T226" s="196">
        <f>($R226*INPUT!$P$60)*INPUT!$I$63</f>
        <v>0.33649126157404419</v>
      </c>
      <c r="U226" s="197">
        <f t="shared" si="173"/>
        <v>41.426996936416963</v>
      </c>
      <c r="V226" s="197">
        <f t="shared" si="174"/>
        <v>42.646996936416961</v>
      </c>
    </row>
    <row r="227" spans="1:22" ht="15.75" customHeight="1" thickBot="1" x14ac:dyDescent="0.25">
      <c r="A227" s="199"/>
      <c r="B227" s="189"/>
      <c r="C227" s="210"/>
      <c r="D227" s="210"/>
      <c r="E227" s="211"/>
      <c r="F227" s="195"/>
      <c r="G227" s="211"/>
      <c r="H227" s="211"/>
      <c r="I227" s="211"/>
      <c r="J227" s="211"/>
      <c r="K227" s="195"/>
      <c r="O227" s="221"/>
      <c r="P227" s="203"/>
      <c r="Q227" s="203"/>
      <c r="R227" s="198"/>
      <c r="S227" s="196"/>
      <c r="T227" s="196"/>
      <c r="U227" s="197"/>
      <c r="V227" s="197"/>
    </row>
    <row r="228" spans="1:22" ht="15.75" customHeight="1" thickBot="1" x14ac:dyDescent="0.25">
      <c r="A228" s="199" t="s">
        <v>97</v>
      </c>
      <c r="B228" s="206"/>
      <c r="C228" s="210"/>
      <c r="D228" s="211"/>
      <c r="E228" s="211"/>
      <c r="F228" s="176"/>
      <c r="G228" s="212"/>
      <c r="H228" s="211"/>
      <c r="I228" s="210"/>
      <c r="J228" s="211"/>
      <c r="K228" s="307"/>
      <c r="M228" s="211"/>
      <c r="O228" s="274" t="s">
        <v>97</v>
      </c>
      <c r="P228" s="302"/>
      <c r="Q228" s="303"/>
      <c r="R228" s="198"/>
    </row>
    <row r="229" spans="1:22" ht="15.75" customHeight="1" thickBot="1" x14ac:dyDescent="0.25">
      <c r="A229" s="199" t="s">
        <v>574</v>
      </c>
      <c r="B229" s="189">
        <f t="shared" ref="B229:B233" si="175">+R229</f>
        <v>0.21</v>
      </c>
      <c r="C229" s="210">
        <f t="shared" ref="C229:C233" si="176">P229</f>
        <v>18.91</v>
      </c>
      <c r="D229" s="210">
        <f t="shared" ref="D229:D233" si="177">Q229</f>
        <v>19.47</v>
      </c>
      <c r="E229" s="211">
        <f t="shared" ref="E229:E233" si="178">+D229-C229</f>
        <v>0.55999999999999872</v>
      </c>
      <c r="F229" s="307">
        <f t="shared" ref="F229:F233" si="179">+E229/D229</f>
        <v>2.8762198253723614E-2</v>
      </c>
      <c r="G229" s="211">
        <f t="shared" ref="G229:G233" si="180">+S229</f>
        <v>-4.4360527140099137E-2</v>
      </c>
      <c r="H229" s="211">
        <f t="shared" ref="H229:H233" si="181">+T229</f>
        <v>0.1500279510202745</v>
      </c>
      <c r="I229" s="210">
        <f t="shared" ref="I229:I233" si="182">+C229+G229+H229</f>
        <v>19.015667423880174</v>
      </c>
      <c r="J229" s="211">
        <f t="shared" ref="J229:J233" si="183">+D229+G229+H229</f>
        <v>19.575667423880173</v>
      </c>
      <c r="K229" s="307">
        <f t="shared" ref="K229:K233" si="184">(J229-I229)/I229</f>
        <v>2.944940019810937E-2</v>
      </c>
      <c r="M229" s="211"/>
      <c r="N229" s="88">
        <v>318</v>
      </c>
      <c r="O229" s="274" t="s">
        <v>574</v>
      </c>
      <c r="P229" s="302">
        <f>VLOOKUP($N229,INPUT!$AB$9:$AF$161,3,FALSE)</f>
        <v>18.91</v>
      </c>
      <c r="Q229" s="302">
        <f>VLOOKUP($N229,INPUT!$AB$9:$AF$161,4,FALSE)</f>
        <v>19.47</v>
      </c>
      <c r="R229" s="198">
        <f>VLOOKUP($N229,INPUT!$AB$9:$AF$161,5,FALSE)</f>
        <v>0.21</v>
      </c>
      <c r="S229" s="196">
        <f>($R229*INPUT!$P$60)*INPUT!$G$63</f>
        <v>-4.4360527140099137E-2</v>
      </c>
      <c r="T229" s="196">
        <f>($R229*INPUT!$P$60)*INPUT!$I$63</f>
        <v>0.1500279510202745</v>
      </c>
      <c r="U229" s="197">
        <f t="shared" ref="U229:U233" si="185">+P229+S229+T229</f>
        <v>19.015667423880174</v>
      </c>
      <c r="V229" s="197">
        <f t="shared" ref="V229:V233" si="186">+Q229+S229+T229</f>
        <v>19.575667423880173</v>
      </c>
    </row>
    <row r="230" spans="1:22" ht="15.75" customHeight="1" thickBot="1" x14ac:dyDescent="0.25">
      <c r="A230" s="199" t="s">
        <v>575</v>
      </c>
      <c r="B230" s="189">
        <f t="shared" si="175"/>
        <v>0.29799999999999999</v>
      </c>
      <c r="C230" s="210">
        <f t="shared" si="176"/>
        <v>20.8</v>
      </c>
      <c r="D230" s="210">
        <f t="shared" si="177"/>
        <v>21.43</v>
      </c>
      <c r="E230" s="211">
        <f t="shared" si="178"/>
        <v>0.62999999999999901</v>
      </c>
      <c r="F230" s="307">
        <f t="shared" si="179"/>
        <v>2.9398040130657908E-2</v>
      </c>
      <c r="G230" s="211">
        <f t="shared" si="180"/>
        <v>-6.2949700417854956E-2</v>
      </c>
      <c r="H230" s="211">
        <f t="shared" si="181"/>
        <v>0.21289680668591332</v>
      </c>
      <c r="I230" s="210">
        <f t="shared" si="182"/>
        <v>20.949947106268059</v>
      </c>
      <c r="J230" s="211">
        <f t="shared" si="183"/>
        <v>21.579947106268058</v>
      </c>
      <c r="K230" s="307">
        <f t="shared" si="184"/>
        <v>3.0071674969122379E-2</v>
      </c>
      <c r="M230" s="211"/>
      <c r="N230" s="88">
        <v>314</v>
      </c>
      <c r="O230" s="274" t="s">
        <v>575</v>
      </c>
      <c r="P230" s="302">
        <f>VLOOKUP($N230,INPUT!$AB$9:$AF$161,3,FALSE)</f>
        <v>20.8</v>
      </c>
      <c r="Q230" s="302">
        <f>VLOOKUP($N230,INPUT!$AB$9:$AF$161,4,FALSE)</f>
        <v>21.43</v>
      </c>
      <c r="R230" s="198">
        <f>VLOOKUP($N230,INPUT!$AB$9:$AF$161,5,FALSE)</f>
        <v>0.29799999999999999</v>
      </c>
      <c r="S230" s="196">
        <f>($R230*INPUT!$P$60)*INPUT!$G$63</f>
        <v>-6.2949700417854956E-2</v>
      </c>
      <c r="T230" s="196">
        <f>($R230*INPUT!$P$60)*INPUT!$I$63</f>
        <v>0.21289680668591332</v>
      </c>
      <c r="U230" s="197">
        <f t="shared" si="185"/>
        <v>20.949947106268059</v>
      </c>
      <c r="V230" s="197">
        <f t="shared" si="186"/>
        <v>21.579947106268058</v>
      </c>
    </row>
    <row r="231" spans="1:22" ht="15.75" customHeight="1" thickBot="1" x14ac:dyDescent="0.25">
      <c r="A231" s="199" t="s">
        <v>576</v>
      </c>
      <c r="B231" s="189">
        <f t="shared" si="175"/>
        <v>0.46200000000000002</v>
      </c>
      <c r="C231" s="210">
        <f t="shared" si="176"/>
        <v>24.79</v>
      </c>
      <c r="D231" s="210">
        <f t="shared" si="177"/>
        <v>25.53</v>
      </c>
      <c r="E231" s="211">
        <f t="shared" si="178"/>
        <v>0.74000000000000199</v>
      </c>
      <c r="F231" s="307">
        <f t="shared" si="179"/>
        <v>2.8985507246376888E-2</v>
      </c>
      <c r="G231" s="211">
        <f t="shared" si="180"/>
        <v>-9.7593159708218108E-2</v>
      </c>
      <c r="H231" s="211">
        <f t="shared" si="181"/>
        <v>0.3300614922446039</v>
      </c>
      <c r="I231" s="210">
        <f t="shared" si="182"/>
        <v>25.022468332536384</v>
      </c>
      <c r="J231" s="211">
        <f t="shared" si="183"/>
        <v>25.762468332536386</v>
      </c>
      <c r="K231" s="307">
        <f t="shared" si="184"/>
        <v>2.9573421381366673E-2</v>
      </c>
      <c r="M231" s="211"/>
      <c r="N231" s="88">
        <v>315</v>
      </c>
      <c r="O231" s="274" t="s">
        <v>576</v>
      </c>
      <c r="P231" s="302">
        <f>VLOOKUP($N231,INPUT!$AB$9:$AF$161,3,FALSE)</f>
        <v>24.79</v>
      </c>
      <c r="Q231" s="302">
        <f>VLOOKUP($N231,INPUT!$AB$9:$AF$161,4,FALSE)</f>
        <v>25.53</v>
      </c>
      <c r="R231" s="198">
        <f>VLOOKUP($N231,INPUT!$AB$9:$AF$161,5,FALSE)</f>
        <v>0.46200000000000002</v>
      </c>
      <c r="S231" s="196">
        <f>($R231*INPUT!$P$60)*INPUT!$G$63</f>
        <v>-9.7593159708218108E-2</v>
      </c>
      <c r="T231" s="196">
        <f>($R231*INPUT!$P$60)*INPUT!$I$63</f>
        <v>0.3300614922446039</v>
      </c>
      <c r="U231" s="197">
        <f t="shared" si="185"/>
        <v>25.022468332536384</v>
      </c>
      <c r="V231" s="197">
        <f t="shared" si="186"/>
        <v>25.762468332536386</v>
      </c>
    </row>
    <row r="232" spans="1:22" ht="15.75" customHeight="1" thickBot="1" x14ac:dyDescent="0.25">
      <c r="A232" s="199" t="s">
        <v>577</v>
      </c>
      <c r="B232" s="189">
        <f t="shared" si="175"/>
        <v>0.1</v>
      </c>
      <c r="C232" s="210">
        <f t="shared" si="176"/>
        <v>13.85</v>
      </c>
      <c r="D232" s="210">
        <f t="shared" si="177"/>
        <v>14.26</v>
      </c>
      <c r="E232" s="211">
        <f t="shared" si="178"/>
        <v>0.41000000000000014</v>
      </c>
      <c r="F232" s="307">
        <f t="shared" si="179"/>
        <v>2.8751753155680234E-2</v>
      </c>
      <c r="G232" s="211">
        <f t="shared" si="180"/>
        <v>-2.1124060542904353E-2</v>
      </c>
      <c r="H232" s="211">
        <f t="shared" si="181"/>
        <v>7.1441881438225954E-2</v>
      </c>
      <c r="I232" s="210">
        <f t="shared" si="182"/>
        <v>13.900317820895321</v>
      </c>
      <c r="J232" s="211">
        <f t="shared" si="183"/>
        <v>14.310317820895321</v>
      </c>
      <c r="K232" s="307">
        <f t="shared" si="184"/>
        <v>2.9495728463393652E-2</v>
      </c>
      <c r="M232" s="211"/>
      <c r="N232" s="88">
        <v>206</v>
      </c>
      <c r="O232" s="274" t="s">
        <v>577</v>
      </c>
      <c r="P232" s="302">
        <f>VLOOKUP($N232,INPUT!$AB$9:$AF$161,3,FALSE)</f>
        <v>13.85</v>
      </c>
      <c r="Q232" s="302">
        <f>VLOOKUP($N232,INPUT!$AB$9:$AF$161,4,FALSE)</f>
        <v>14.26</v>
      </c>
      <c r="R232" s="198">
        <f>VLOOKUP($N232,INPUT!$AB$9:$AF$161,5,FALSE)</f>
        <v>0.1</v>
      </c>
      <c r="S232" s="196">
        <f>($R232*INPUT!$P$60)*INPUT!$G$63</f>
        <v>-2.1124060542904353E-2</v>
      </c>
      <c r="T232" s="196">
        <f>($R232*INPUT!$P$60)*INPUT!$I$63</f>
        <v>7.1441881438225954E-2</v>
      </c>
      <c r="U232" s="197">
        <f t="shared" si="185"/>
        <v>13.900317820895321</v>
      </c>
      <c r="V232" s="197">
        <f t="shared" si="186"/>
        <v>14.310317820895321</v>
      </c>
    </row>
    <row r="233" spans="1:22" ht="15.75" customHeight="1" thickBot="1" x14ac:dyDescent="0.25">
      <c r="A233" s="199" t="s">
        <v>578</v>
      </c>
      <c r="B233" s="189">
        <f t="shared" si="175"/>
        <v>0.21</v>
      </c>
      <c r="C233" s="210">
        <f t="shared" si="176"/>
        <v>15.66</v>
      </c>
      <c r="D233" s="210">
        <f t="shared" si="177"/>
        <v>16.13</v>
      </c>
      <c r="E233" s="211">
        <f t="shared" si="178"/>
        <v>0.46999999999999886</v>
      </c>
      <c r="F233" s="307">
        <f t="shared" si="179"/>
        <v>2.9138251704897637E-2</v>
      </c>
      <c r="G233" s="211">
        <f t="shared" si="180"/>
        <v>-4.4360527140099137E-2</v>
      </c>
      <c r="H233" s="211">
        <f t="shared" si="181"/>
        <v>0.1500279510202745</v>
      </c>
      <c r="I233" s="210">
        <f t="shared" si="182"/>
        <v>15.765667423880174</v>
      </c>
      <c r="J233" s="211">
        <f t="shared" si="183"/>
        <v>16.235667423880173</v>
      </c>
      <c r="K233" s="307">
        <f t="shared" si="184"/>
        <v>2.9811614526898639E-2</v>
      </c>
      <c r="M233" s="211"/>
      <c r="N233" s="88">
        <v>208</v>
      </c>
      <c r="O233" s="274" t="s">
        <v>578</v>
      </c>
      <c r="P233" s="302">
        <f>VLOOKUP($N233,INPUT!$AB$9:$AF$161,3,FALSE)</f>
        <v>15.66</v>
      </c>
      <c r="Q233" s="302">
        <f>VLOOKUP($N233,INPUT!$AB$9:$AF$161,4,FALSE)</f>
        <v>16.13</v>
      </c>
      <c r="R233" s="198">
        <f>VLOOKUP($N233,INPUT!$AB$9:$AF$161,5,FALSE)</f>
        <v>0.21</v>
      </c>
      <c r="S233" s="196">
        <f>($R233*INPUT!$P$60)*INPUT!$G$63</f>
        <v>-4.4360527140099137E-2</v>
      </c>
      <c r="T233" s="196">
        <f>($R233*INPUT!$P$60)*INPUT!$I$63</f>
        <v>0.1500279510202745</v>
      </c>
      <c r="U233" s="197">
        <f t="shared" si="185"/>
        <v>15.765667423880174</v>
      </c>
      <c r="V233" s="197">
        <f t="shared" si="186"/>
        <v>16.235667423880173</v>
      </c>
    </row>
    <row r="234" spans="1:22" x14ac:dyDescent="0.2">
      <c r="A234" s="199"/>
      <c r="B234" s="189"/>
      <c r="C234" s="210"/>
      <c r="D234" s="210"/>
      <c r="E234" s="211"/>
      <c r="F234" s="195"/>
      <c r="G234" s="211"/>
      <c r="H234" s="211"/>
      <c r="I234" s="211"/>
      <c r="J234" s="211"/>
      <c r="K234" s="195"/>
      <c r="O234" s="221"/>
      <c r="P234" s="203"/>
      <c r="Q234" s="203"/>
      <c r="R234" s="198"/>
      <c r="S234" s="196"/>
      <c r="T234" s="196"/>
      <c r="U234" s="197"/>
      <c r="V234" s="197"/>
    </row>
    <row r="235" spans="1:22" x14ac:dyDescent="0.2">
      <c r="A235" s="175" t="s">
        <v>314</v>
      </c>
      <c r="G235" s="195"/>
      <c r="K235" s="195"/>
      <c r="O235" s="88"/>
      <c r="P235" s="88"/>
      <c r="Q235" s="88"/>
      <c r="R235" s="209"/>
    </row>
    <row r="236" spans="1:22" x14ac:dyDescent="0.2">
      <c r="A236" s="172" t="s">
        <v>328</v>
      </c>
      <c r="G236" s="195"/>
      <c r="K236" s="195"/>
      <c r="O236" s="88"/>
      <c r="P236" s="88"/>
      <c r="Q236" s="88"/>
      <c r="R236" s="209"/>
    </row>
    <row r="237" spans="1:22" x14ac:dyDescent="0.2">
      <c r="A237" s="172" t="str">
        <f>+'Rate Case Constants'!$C$26</f>
        <v>Calculations may vary from other schedules due to rounding</v>
      </c>
      <c r="G237" s="195"/>
      <c r="K237" s="195"/>
      <c r="O237" s="88"/>
      <c r="R237" s="209"/>
    </row>
    <row r="238" spans="1:22" x14ac:dyDescent="0.2">
      <c r="A238" s="172" t="s">
        <v>377</v>
      </c>
      <c r="G238" s="195"/>
      <c r="K238" s="195"/>
      <c r="O238" s="88"/>
      <c r="R238" s="209"/>
    </row>
    <row r="239" spans="1:22" x14ac:dyDescent="0.2">
      <c r="A239" s="438" t="str">
        <f>+A1</f>
        <v>LOUISVILLE GAS AND ELECTRIC COMPANY</v>
      </c>
      <c r="B239" s="439"/>
      <c r="C239" s="439"/>
      <c r="D239" s="439"/>
      <c r="E239" s="439"/>
      <c r="F239" s="439"/>
      <c r="G239" s="439"/>
      <c r="H239" s="439"/>
      <c r="I239" s="439"/>
      <c r="J239" s="439"/>
      <c r="K239" s="439"/>
      <c r="O239" s="88"/>
      <c r="R239" s="209"/>
    </row>
    <row r="240" spans="1:22" x14ac:dyDescent="0.2">
      <c r="A240" s="438" t="str">
        <f>+A2</f>
        <v>CASE NO. 2018-00295</v>
      </c>
      <c r="B240" s="439"/>
      <c r="C240" s="439"/>
      <c r="D240" s="439"/>
      <c r="E240" s="439"/>
      <c r="F240" s="439"/>
      <c r="G240" s="439"/>
      <c r="H240" s="439"/>
      <c r="I240" s="439"/>
      <c r="J240" s="439"/>
      <c r="K240" s="439"/>
    </row>
    <row r="241" spans="1:18" x14ac:dyDescent="0.2">
      <c r="A241" s="438" t="str">
        <f>+A3</f>
        <v>Typical Bill Comparison under Present &amp; Proposed Rates</v>
      </c>
      <c r="B241" s="439"/>
      <c r="C241" s="439"/>
      <c r="D241" s="439"/>
      <c r="E241" s="439"/>
      <c r="F241" s="439"/>
      <c r="G241" s="439"/>
      <c r="H241" s="439"/>
      <c r="I241" s="439"/>
      <c r="J241" s="439"/>
      <c r="K241" s="439"/>
    </row>
    <row r="242" spans="1:18" x14ac:dyDescent="0.2">
      <c r="A242" s="438" t="str">
        <f>+A4</f>
        <v>FORECAST PERIOD FOR THE 12 MONTHS ENDED APRIL 30, 2020</v>
      </c>
      <c r="B242" s="439"/>
      <c r="C242" s="439"/>
      <c r="D242" s="439"/>
      <c r="E242" s="439"/>
      <c r="F242" s="439"/>
      <c r="G242" s="439"/>
      <c r="H242" s="439"/>
      <c r="I242" s="439"/>
      <c r="J242" s="439"/>
      <c r="K242" s="439"/>
    </row>
    <row r="243" spans="1:18" x14ac:dyDescent="0.2">
      <c r="A243" s="239"/>
      <c r="B243" s="240"/>
      <c r="C243" s="241"/>
      <c r="D243" s="241"/>
      <c r="E243" s="242"/>
      <c r="F243" s="243"/>
      <c r="G243" s="242"/>
      <c r="H243" s="242"/>
      <c r="I243" s="242"/>
      <c r="J243" s="242"/>
      <c r="K243" s="243"/>
    </row>
    <row r="244" spans="1:18" x14ac:dyDescent="0.2">
      <c r="A244" s="239" t="str">
        <f>A197</f>
        <v>DATA: ____BASE PERIOD__X___FORECASTED PERIOD</v>
      </c>
      <c r="B244" s="240"/>
      <c r="C244" s="241"/>
      <c r="D244" s="241"/>
      <c r="E244" s="242"/>
      <c r="F244" s="243"/>
      <c r="G244" s="242"/>
      <c r="H244" s="242"/>
      <c r="I244" s="242"/>
      <c r="J244" s="242"/>
      <c r="K244" s="244" t="str">
        <f>K197</f>
        <v>SCHEDULE N</v>
      </c>
    </row>
    <row r="245" spans="1:18" x14ac:dyDescent="0.2">
      <c r="A245" s="239" t="str">
        <f t="shared" ref="A245:A246" si="187">A198</f>
        <v>TYPE OF FILING: __X__ ORIGINAL  _____ UPDATED  _____ REVISED</v>
      </c>
      <c r="B245" s="240"/>
      <c r="C245" s="241"/>
      <c r="D245" s="241"/>
      <c r="E245" s="242"/>
      <c r="F245" s="243"/>
      <c r="G245" s="242"/>
      <c r="H245" s="242"/>
      <c r="I245" s="242"/>
      <c r="J245" s="242"/>
      <c r="K245" s="244" t="str">
        <f>+'Rate Case Constants'!L27</f>
        <v>PAGE 20 of 26</v>
      </c>
      <c r="O245" s="88"/>
      <c r="R245" s="209"/>
    </row>
    <row r="246" spans="1:18" x14ac:dyDescent="0.2">
      <c r="A246" s="239" t="str">
        <f t="shared" si="187"/>
        <v>WORKPAPER REFERENCE NO(S):________</v>
      </c>
      <c r="B246" s="240"/>
      <c r="C246" s="241"/>
      <c r="D246" s="241"/>
      <c r="E246" s="242"/>
      <c r="F246" s="243"/>
      <c r="G246" s="242"/>
      <c r="H246" s="242"/>
      <c r="I246" s="242"/>
      <c r="J246" s="242"/>
      <c r="K246" s="244" t="str">
        <f>K199</f>
        <v>WITNESS:   R. M. CONROY</v>
      </c>
      <c r="O246" s="88"/>
      <c r="R246" s="209"/>
    </row>
    <row r="247" spans="1:18" x14ac:dyDescent="0.2">
      <c r="A247" s="257"/>
      <c r="B247" s="189"/>
      <c r="C247" s="258"/>
      <c r="D247" s="258"/>
      <c r="E247" s="259"/>
      <c r="F247" s="225"/>
      <c r="G247" s="259"/>
      <c r="H247" s="259"/>
      <c r="I247" s="259"/>
      <c r="J247" s="259"/>
      <c r="K247" s="225"/>
      <c r="O247" s="88"/>
      <c r="R247" s="209"/>
    </row>
    <row r="248" spans="1:18" x14ac:dyDescent="0.2">
      <c r="A248" s="230" t="s">
        <v>94</v>
      </c>
      <c r="B248" s="189"/>
      <c r="C248" s="258"/>
      <c r="D248" s="258"/>
      <c r="E248" s="259"/>
      <c r="F248" s="225"/>
      <c r="G248" s="259"/>
      <c r="H248" s="259"/>
      <c r="I248" s="259"/>
      <c r="J248" s="259"/>
      <c r="K248" s="225"/>
      <c r="O248" s="88"/>
      <c r="R248" s="193"/>
    </row>
    <row r="249" spans="1:18" x14ac:dyDescent="0.2">
      <c r="A249" s="88"/>
      <c r="B249" s="415" t="s">
        <v>304</v>
      </c>
      <c r="C249" s="26" t="s">
        <v>305</v>
      </c>
      <c r="D249" s="26" t="s">
        <v>306</v>
      </c>
      <c r="E249" s="415" t="s">
        <v>307</v>
      </c>
      <c r="F249" s="415" t="s">
        <v>308</v>
      </c>
      <c r="G249" s="26" t="s">
        <v>309</v>
      </c>
      <c r="H249" s="415" t="s">
        <v>310</v>
      </c>
      <c r="I249" s="415" t="s">
        <v>311</v>
      </c>
      <c r="J249" s="415" t="s">
        <v>312</v>
      </c>
      <c r="K249" s="415" t="s">
        <v>313</v>
      </c>
      <c r="O249" s="88"/>
      <c r="R249" s="193"/>
    </row>
    <row r="250" spans="1:18" x14ac:dyDescent="0.2">
      <c r="A250" s="205"/>
      <c r="B250" s="41"/>
      <c r="C250" s="231" t="s">
        <v>339</v>
      </c>
      <c r="D250" s="231" t="s">
        <v>339</v>
      </c>
      <c r="E250"/>
      <c r="F250"/>
      <c r="G250" s="30"/>
      <c r="H250" s="30"/>
      <c r="I250" s="415" t="s">
        <v>5</v>
      </c>
      <c r="J250" s="415" t="s">
        <v>5</v>
      </c>
      <c r="K250"/>
      <c r="O250" s="88"/>
      <c r="R250" s="193"/>
    </row>
    <row r="251" spans="1:18" x14ac:dyDescent="0.2">
      <c r="A251" s="205"/>
      <c r="B251" s="415" t="s">
        <v>327</v>
      </c>
      <c r="C251" s="415" t="s">
        <v>1</v>
      </c>
      <c r="D251" s="415" t="s">
        <v>73</v>
      </c>
      <c r="E251" s="415"/>
      <c r="F251" s="415"/>
      <c r="G251" s="440" t="s">
        <v>126</v>
      </c>
      <c r="H251" s="440"/>
      <c r="I251" s="415" t="s">
        <v>1</v>
      </c>
      <c r="J251" s="415" t="s">
        <v>73</v>
      </c>
      <c r="K251" s="415"/>
      <c r="O251" s="88"/>
      <c r="R251" s="193"/>
    </row>
    <row r="252" spans="1:18" x14ac:dyDescent="0.2">
      <c r="A252" s="205"/>
      <c r="B252" s="415" t="s">
        <v>20</v>
      </c>
      <c r="C252" s="415" t="s">
        <v>4</v>
      </c>
      <c r="D252" s="415" t="s">
        <v>4</v>
      </c>
      <c r="E252" s="415" t="s">
        <v>74</v>
      </c>
      <c r="F252" s="415" t="s">
        <v>74</v>
      </c>
      <c r="G252" s="164" t="s">
        <v>376</v>
      </c>
      <c r="H252" s="51" t="s">
        <v>71</v>
      </c>
      <c r="I252" s="415" t="s">
        <v>4</v>
      </c>
      <c r="J252" s="415" t="s">
        <v>4</v>
      </c>
      <c r="K252" s="415" t="s">
        <v>74</v>
      </c>
      <c r="O252" s="88"/>
      <c r="R252" s="193"/>
    </row>
    <row r="253" spans="1:18" x14ac:dyDescent="0.2">
      <c r="A253" s="205"/>
      <c r="B253" s="41"/>
      <c r="C253" s="415"/>
      <c r="D253" s="415"/>
      <c r="E253" s="415" t="s">
        <v>68</v>
      </c>
      <c r="F253" s="26" t="s">
        <v>69</v>
      </c>
      <c r="G253" s="50"/>
      <c r="H253" s="52"/>
      <c r="I253" s="415" t="s">
        <v>68</v>
      </c>
      <c r="J253" s="415" t="s">
        <v>68</v>
      </c>
      <c r="K253" s="26" t="s">
        <v>69</v>
      </c>
      <c r="O253" s="88"/>
      <c r="R253" s="193"/>
    </row>
    <row r="254" spans="1:18" x14ac:dyDescent="0.2">
      <c r="A254" s="263"/>
      <c r="B254" s="247"/>
      <c r="C254" s="414"/>
      <c r="D254" s="414"/>
      <c r="E254" s="414" t="str">
        <f>("[ "&amp;D249&amp;" - "&amp;C249&amp;" ]")</f>
        <v>[ C - B ]</v>
      </c>
      <c r="F254" s="414" t="str">
        <f>("[ "&amp;E249&amp;" / "&amp;C249&amp;" ]")</f>
        <v>[ D / B ]</v>
      </c>
      <c r="G254" s="262"/>
      <c r="H254" s="262"/>
      <c r="I254" s="414" t="str">
        <f>("["&amp;C249&amp;"+"&amp;$G$10&amp;"+"&amp;$H$10&amp;"]")</f>
        <v>[B+F+G]</v>
      </c>
      <c r="J254" s="414" t="str">
        <f>("["&amp;D249&amp;"+"&amp;$G$10&amp;"+"&amp;$H$10&amp;"]")</f>
        <v>[C+F+G]</v>
      </c>
      <c r="K254" s="414" t="str">
        <f>("[("&amp;J249&amp;" - "&amp;I249&amp;")"&amp;I249&amp;"]")</f>
        <v>[(I - H)H]</v>
      </c>
      <c r="R254" s="193"/>
    </row>
    <row r="255" spans="1:18" x14ac:dyDescent="0.2">
      <c r="A255" s="190" t="s">
        <v>89</v>
      </c>
      <c r="R255" s="193"/>
    </row>
    <row r="256" spans="1:18" ht="13.5" thickBot="1" x14ac:dyDescent="0.25">
      <c r="A256" s="192" t="s">
        <v>91</v>
      </c>
      <c r="F256" s="176"/>
      <c r="G256" s="195"/>
      <c r="I256" s="210"/>
      <c r="K256" s="307"/>
      <c r="M256" s="211"/>
      <c r="O256" s="88"/>
      <c r="R256" s="209"/>
    </row>
    <row r="257" spans="1:22" ht="15.75" thickBot="1" x14ac:dyDescent="0.25">
      <c r="A257" s="199" t="s">
        <v>579</v>
      </c>
      <c r="B257" s="189">
        <f>+R257</f>
        <v>0.15</v>
      </c>
      <c r="C257" s="210">
        <f t="shared" ref="C257:C262" si="188">P257</f>
        <v>16.399999999999999</v>
      </c>
      <c r="D257" s="210">
        <f t="shared" ref="D257:D262" si="189">Q257</f>
        <v>16.62</v>
      </c>
      <c r="E257" s="211">
        <f>+D257-C257</f>
        <v>0.22000000000000242</v>
      </c>
      <c r="F257" s="307">
        <f>+E257/D257</f>
        <v>1.3237063778580169E-2</v>
      </c>
      <c r="G257" s="211">
        <f t="shared" ref="G257:H260" si="190">+S257</f>
        <v>-3.168609081435652E-2</v>
      </c>
      <c r="H257" s="211">
        <f t="shared" si="190"/>
        <v>0.10716282215733891</v>
      </c>
      <c r="I257" s="210">
        <f>+C257+G257+H257</f>
        <v>16.47547673134298</v>
      </c>
      <c r="J257" s="211">
        <f>+D257+G257+H257</f>
        <v>16.695476731342982</v>
      </c>
      <c r="K257" s="307">
        <f>(J257-I257)/I257</f>
        <v>1.3353179612792265E-2</v>
      </c>
      <c r="M257" s="211"/>
      <c r="N257" s="88">
        <v>479</v>
      </c>
      <c r="O257" s="274" t="s">
        <v>579</v>
      </c>
      <c r="P257" s="302">
        <f>VLOOKUP($N257,INPUT!$AB$9:$AF$161,3,FALSE)</f>
        <v>16.399999999999999</v>
      </c>
      <c r="Q257" s="302">
        <f>VLOOKUP($N257,INPUT!$AB$9:$AF$161,4,FALSE)</f>
        <v>16.62</v>
      </c>
      <c r="R257" s="198">
        <f>VLOOKUP($N257,INPUT!$AB$9:$AF$161,5,FALSE)</f>
        <v>0.15</v>
      </c>
      <c r="S257" s="196">
        <f>($R257*INPUT!$P$60)*INPUT!$G$63</f>
        <v>-3.168609081435652E-2</v>
      </c>
      <c r="T257" s="196">
        <f>($R257*INPUT!$P$60)*INPUT!$I$63</f>
        <v>0.10716282215733891</v>
      </c>
      <c r="U257" s="197">
        <f>+P257+S257+T257</f>
        <v>16.47547673134298</v>
      </c>
      <c r="V257" s="197">
        <f>+Q257+S257+T257</f>
        <v>16.695476731342982</v>
      </c>
    </row>
    <row r="258" spans="1:22" ht="15.75" thickBot="1" x14ac:dyDescent="0.25">
      <c r="A258" s="199" t="s">
        <v>580</v>
      </c>
      <c r="B258" s="189">
        <f>+R258</f>
        <v>0.15</v>
      </c>
      <c r="C258" s="210">
        <f t="shared" si="188"/>
        <v>26.62</v>
      </c>
      <c r="D258" s="210">
        <f t="shared" si="189"/>
        <v>27.41</v>
      </c>
      <c r="E258" s="211">
        <f>+D258-C258</f>
        <v>0.78999999999999915</v>
      </c>
      <c r="F258" s="307">
        <f>+E258/D258</f>
        <v>2.8821597956949985E-2</v>
      </c>
      <c r="G258" s="211">
        <f t="shared" si="190"/>
        <v>-3.168609081435652E-2</v>
      </c>
      <c r="H258" s="211">
        <f t="shared" si="190"/>
        <v>0.10716282215733891</v>
      </c>
      <c r="I258" s="210">
        <f>+C258+G258+H258</f>
        <v>26.695476731342982</v>
      </c>
      <c r="J258" s="211">
        <f>+D258+G258+H258</f>
        <v>27.485476731342981</v>
      </c>
      <c r="K258" s="307">
        <f>(J258-I258)/I258</f>
        <v>2.9593028360211503E-2</v>
      </c>
      <c r="M258" s="211"/>
      <c r="N258" s="88">
        <v>480</v>
      </c>
      <c r="O258" s="274" t="s">
        <v>580</v>
      </c>
      <c r="P258" s="302">
        <f>VLOOKUP($N258,INPUT!$AB$9:$AF$161,3,FALSE)</f>
        <v>26.62</v>
      </c>
      <c r="Q258" s="302">
        <f>VLOOKUP($N258,INPUT!$AB$9:$AF$161,4,FALSE)</f>
        <v>27.41</v>
      </c>
      <c r="R258" s="198">
        <f>VLOOKUP($N258,INPUT!$AB$9:$AF$161,5,FALSE)</f>
        <v>0.15</v>
      </c>
      <c r="S258" s="196">
        <f>($R258*INPUT!$P$60)*INPUT!$G$63</f>
        <v>-3.168609081435652E-2</v>
      </c>
      <c r="T258" s="196">
        <f>($R258*INPUT!$P$60)*INPUT!$I$63</f>
        <v>0.10716282215733891</v>
      </c>
      <c r="U258" s="197">
        <f>+P258+S258+T258</f>
        <v>26.695476731342982</v>
      </c>
      <c r="V258" s="197">
        <f>+Q258+S258+T258</f>
        <v>27.485476731342981</v>
      </c>
    </row>
    <row r="259" spans="1:22" ht="15.75" thickBot="1" x14ac:dyDescent="0.25">
      <c r="A259" s="199" t="s">
        <v>581</v>
      </c>
      <c r="B259" s="189">
        <f>+R259</f>
        <v>1.08</v>
      </c>
      <c r="C259" s="210">
        <f t="shared" si="188"/>
        <v>46.2</v>
      </c>
      <c r="D259" s="210">
        <f t="shared" si="189"/>
        <v>47.57</v>
      </c>
      <c r="E259" s="211">
        <f>+D259-C259</f>
        <v>1.3699999999999974</v>
      </c>
      <c r="F259" s="307">
        <f>+E259/D259</f>
        <v>2.8799663653563116E-2</v>
      </c>
      <c r="G259" s="211">
        <f t="shared" si="190"/>
        <v>-0.22813985386336699</v>
      </c>
      <c r="H259" s="211">
        <f t="shared" si="190"/>
        <v>0.77157231953284033</v>
      </c>
      <c r="I259" s="210">
        <f>+C259+G259+H259</f>
        <v>46.743432465669478</v>
      </c>
      <c r="J259" s="211">
        <f>+D259+G259+H259</f>
        <v>48.113432465669476</v>
      </c>
      <c r="K259" s="307">
        <f>(J259-I259)/I259</f>
        <v>2.9308930211879247E-2</v>
      </c>
      <c r="M259" s="211"/>
      <c r="N259" s="88">
        <v>483</v>
      </c>
      <c r="O259" s="274" t="s">
        <v>581</v>
      </c>
      <c r="P259" s="302">
        <f>VLOOKUP($N259,INPUT!$AB$9:$AF$161,3,FALSE)</f>
        <v>46.2</v>
      </c>
      <c r="Q259" s="302">
        <f>VLOOKUP($N259,INPUT!$AB$9:$AF$161,4,FALSE)</f>
        <v>47.57</v>
      </c>
      <c r="R259" s="198">
        <f>VLOOKUP($N259,INPUT!$AB$9:$AF$161,5,FALSE)</f>
        <v>1.08</v>
      </c>
      <c r="S259" s="196">
        <f>($R259*INPUT!$P$60)*INPUT!$G$63</f>
        <v>-0.22813985386336699</v>
      </c>
      <c r="T259" s="196">
        <f>($R259*INPUT!$P$60)*INPUT!$I$63</f>
        <v>0.77157231953284033</v>
      </c>
      <c r="U259" s="197">
        <f t="shared" ref="U259:U260" si="191">+P259+S259+T259</f>
        <v>46.743432465669478</v>
      </c>
      <c r="V259" s="197">
        <f t="shared" ref="V259:V260" si="192">+Q259+S259+T259</f>
        <v>48.113432465669476</v>
      </c>
    </row>
    <row r="260" spans="1:22" ht="15.75" thickBot="1" x14ac:dyDescent="0.25">
      <c r="A260" s="199" t="s">
        <v>582</v>
      </c>
      <c r="B260" s="189">
        <f>+R260</f>
        <v>1.08</v>
      </c>
      <c r="C260" s="210">
        <f t="shared" si="188"/>
        <v>57.3</v>
      </c>
      <c r="D260" s="210">
        <f t="shared" si="189"/>
        <v>59</v>
      </c>
      <c r="E260" s="211">
        <f>+D260-C260</f>
        <v>1.7000000000000028</v>
      </c>
      <c r="F260" s="307">
        <f>+E260/D260</f>
        <v>2.8813559322033947E-2</v>
      </c>
      <c r="G260" s="212">
        <f t="shared" si="190"/>
        <v>-0.22813985386336699</v>
      </c>
      <c r="H260" s="211">
        <f t="shared" si="190"/>
        <v>0.77157231953284033</v>
      </c>
      <c r="I260" s="210">
        <f>+C260+G260+H260</f>
        <v>57.843432465669473</v>
      </c>
      <c r="J260" s="211">
        <f>+D260+G260+H260</f>
        <v>59.543432465669476</v>
      </c>
      <c r="K260" s="307">
        <f>(J260-I260)/I260</f>
        <v>2.9389680514014551E-2</v>
      </c>
      <c r="M260" s="211"/>
      <c r="N260" s="88">
        <v>484</v>
      </c>
      <c r="O260" s="274" t="s">
        <v>582</v>
      </c>
      <c r="P260" s="302">
        <f>VLOOKUP($N260,INPUT!$AB$9:$AF$161,3,FALSE)</f>
        <v>57.3</v>
      </c>
      <c r="Q260" s="302">
        <f>VLOOKUP($N260,INPUT!$AB$9:$AF$161,4,FALSE)</f>
        <v>59</v>
      </c>
      <c r="R260" s="198">
        <f>VLOOKUP($N260,INPUT!$AB$9:$AF$161,5,FALSE)</f>
        <v>1.08</v>
      </c>
      <c r="S260" s="196">
        <f>($R260*INPUT!$P$60)*INPUT!$G$63</f>
        <v>-0.22813985386336699</v>
      </c>
      <c r="T260" s="196">
        <f>($R260*INPUT!$P$60)*INPUT!$I$63</f>
        <v>0.77157231953284033</v>
      </c>
      <c r="U260" s="197">
        <f t="shared" si="191"/>
        <v>57.843432465669473</v>
      </c>
      <c r="V260" s="197">
        <f t="shared" si="192"/>
        <v>59.543432465669476</v>
      </c>
    </row>
    <row r="261" spans="1:22" ht="15.75" thickBot="1" x14ac:dyDescent="0.25">
      <c r="A261" s="199" t="s">
        <v>587</v>
      </c>
      <c r="B261" s="189">
        <f t="shared" ref="B261:B262" si="193">+R261</f>
        <v>0.35</v>
      </c>
      <c r="C261" s="210">
        <f t="shared" si="188"/>
        <v>22.43</v>
      </c>
      <c r="D261" s="210">
        <f t="shared" si="189"/>
        <v>23.1</v>
      </c>
      <c r="E261" s="211">
        <f t="shared" ref="E261:E262" si="194">+D261-C261</f>
        <v>0.67000000000000171</v>
      </c>
      <c r="F261" s="307">
        <f t="shared" ref="F261:F262" si="195">+E261/D261</f>
        <v>2.9004329004329078E-2</v>
      </c>
      <c r="G261" s="211">
        <f t="shared" ref="G261:G262" si="196">+S261</f>
        <v>-7.3934211900165206E-2</v>
      </c>
      <c r="H261" s="211">
        <f t="shared" ref="H261:H262" si="197">+T261</f>
        <v>0.25004658503379079</v>
      </c>
      <c r="I261" s="210">
        <f t="shared" ref="I261:I262" si="198">+C261+G261+H261</f>
        <v>22.606112373133623</v>
      </c>
      <c r="J261" s="211">
        <f t="shared" ref="J261:J262" si="199">+D261+G261+H261</f>
        <v>23.276112373133625</v>
      </c>
      <c r="K261" s="307">
        <f t="shared" ref="K261:K262" si="200">(J261-I261)/I261</f>
        <v>2.9638001835126125E-2</v>
      </c>
      <c r="M261" s="211"/>
      <c r="N261" s="88">
        <v>481</v>
      </c>
      <c r="O261" s="274" t="s">
        <v>583</v>
      </c>
      <c r="P261" s="302">
        <f>VLOOKUP($N261,INPUT!$AB$9:$AF$161,3,FALSE)</f>
        <v>22.43</v>
      </c>
      <c r="Q261" s="302">
        <f>VLOOKUP($N261,INPUT!$AB$9:$AF$161,4,FALSE)</f>
        <v>23.1</v>
      </c>
      <c r="R261" s="198">
        <f>VLOOKUP($N261,INPUT!$AB$9:$AF$161,5,FALSE)</f>
        <v>0.35</v>
      </c>
      <c r="S261" s="196">
        <f>($R261*INPUT!$P$60)*INPUT!$G$63</f>
        <v>-7.3934211900165206E-2</v>
      </c>
      <c r="T261" s="196">
        <f>($R261*INPUT!$P$60)*INPUT!$I$63</f>
        <v>0.25004658503379079</v>
      </c>
      <c r="U261" s="197">
        <f t="shared" ref="U261" si="201">+P261+S261+T261</f>
        <v>22.606112373133623</v>
      </c>
      <c r="V261" s="197">
        <f t="shared" ref="V261" si="202">+Q261+S261+T261</f>
        <v>23.276112373133625</v>
      </c>
    </row>
    <row r="262" spans="1:22" ht="15.75" thickBot="1" x14ac:dyDescent="0.25">
      <c r="A262" s="199" t="s">
        <v>588</v>
      </c>
      <c r="B262" s="189">
        <f t="shared" si="193"/>
        <v>0.35</v>
      </c>
      <c r="C262" s="210">
        <f t="shared" si="188"/>
        <v>33.549999999999997</v>
      </c>
      <c r="D262" s="210">
        <f t="shared" si="189"/>
        <v>34.549999999999997</v>
      </c>
      <c r="E262" s="211">
        <f t="shared" si="194"/>
        <v>1</v>
      </c>
      <c r="F262" s="307">
        <f t="shared" si="195"/>
        <v>2.8943560057887122E-2</v>
      </c>
      <c r="G262" s="211">
        <f t="shared" si="196"/>
        <v>-7.3934211900165206E-2</v>
      </c>
      <c r="H262" s="211">
        <f t="shared" si="197"/>
        <v>0.25004658503379079</v>
      </c>
      <c r="I262" s="210">
        <f t="shared" si="198"/>
        <v>33.726112373133624</v>
      </c>
      <c r="J262" s="211">
        <f t="shared" si="199"/>
        <v>34.726112373133624</v>
      </c>
      <c r="K262" s="307">
        <f t="shared" si="200"/>
        <v>2.9650615788038605E-2</v>
      </c>
      <c r="L262" s="202"/>
      <c r="M262" s="211"/>
      <c r="N262" s="88">
        <v>482</v>
      </c>
      <c r="O262" s="274" t="s">
        <v>584</v>
      </c>
      <c r="P262" s="302">
        <f>VLOOKUP($N262,INPUT!$AB$9:$AF$161,3,FALSE)</f>
        <v>33.549999999999997</v>
      </c>
      <c r="Q262" s="302">
        <f>VLOOKUP($N262,INPUT!$AB$9:$AF$161,4,FALSE)</f>
        <v>34.549999999999997</v>
      </c>
      <c r="R262" s="198">
        <f>VLOOKUP($N262,INPUT!$AB$9:$AF$161,5,FALSE)</f>
        <v>0.35</v>
      </c>
      <c r="S262" s="196">
        <f>($R262*INPUT!$P$60)*INPUT!$G$63</f>
        <v>-7.3934211900165206E-2</v>
      </c>
      <c r="T262" s="196">
        <f>($R262*INPUT!$P$60)*INPUT!$I$63</f>
        <v>0.25004658503379079</v>
      </c>
      <c r="U262" s="197">
        <f t="shared" ref="U262" si="203">+P262+S262+T262</f>
        <v>33.726112373133624</v>
      </c>
      <c r="V262" s="197">
        <f t="shared" ref="V262" si="204">+Q262+S262+T262</f>
        <v>34.726112373133624</v>
      </c>
    </row>
    <row r="263" spans="1:22" ht="15.75" thickBot="1" x14ac:dyDescent="0.25">
      <c r="A263" s="199"/>
      <c r="B263" s="189"/>
      <c r="C263" s="210"/>
      <c r="D263" s="210"/>
      <c r="E263" s="211"/>
      <c r="F263" s="307"/>
      <c r="G263" s="212"/>
      <c r="H263" s="211"/>
      <c r="I263" s="210"/>
      <c r="J263" s="211"/>
      <c r="K263" s="307"/>
      <c r="M263" s="211"/>
      <c r="O263" s="274"/>
      <c r="P263" s="302"/>
      <c r="Q263" s="303"/>
      <c r="R263" s="198"/>
      <c r="S263" s="196"/>
      <c r="T263" s="196"/>
      <c r="U263" s="197"/>
      <c r="V263" s="197"/>
    </row>
    <row r="264" spans="1:22" ht="15.75" thickBot="1" x14ac:dyDescent="0.25">
      <c r="A264" s="190" t="s">
        <v>98</v>
      </c>
      <c r="B264" s="207"/>
      <c r="C264" s="210"/>
      <c r="D264" s="211"/>
      <c r="E264" s="211"/>
      <c r="F264" s="176"/>
      <c r="G264" s="212"/>
      <c r="H264" s="211"/>
      <c r="I264" s="210"/>
      <c r="J264" s="211"/>
      <c r="K264" s="307"/>
      <c r="M264" s="211"/>
      <c r="O264" s="274" t="s">
        <v>98</v>
      </c>
      <c r="P264" s="302"/>
      <c r="Q264" s="303"/>
      <c r="R264" s="198"/>
    </row>
    <row r="265" spans="1:22" ht="15.75" thickBot="1" x14ac:dyDescent="0.25">
      <c r="A265" s="199" t="s">
        <v>585</v>
      </c>
      <c r="B265" s="189">
        <f t="shared" ref="B265:B266" si="205">+R265</f>
        <v>0.10199999999999999</v>
      </c>
      <c r="C265" s="210">
        <f t="shared" ref="C265:C266" si="206">P265</f>
        <v>9.9600000000000009</v>
      </c>
      <c r="D265" s="210">
        <f t="shared" ref="D265:D266" si="207">Q265</f>
        <v>10.26</v>
      </c>
      <c r="E265" s="211">
        <f t="shared" ref="E265:E266" si="208">+D265-C265</f>
        <v>0.29999999999999893</v>
      </c>
      <c r="F265" s="307">
        <f t="shared" ref="F265:F266" si="209">+E265/D265</f>
        <v>2.9239766081871243E-2</v>
      </c>
      <c r="G265" s="211">
        <f t="shared" ref="G265:G266" si="210">+S265</f>
        <v>-2.1546541753762433E-2</v>
      </c>
      <c r="H265" s="211">
        <f t="shared" ref="H265:H266" si="211">+T265</f>
        <v>7.2870719066990455E-2</v>
      </c>
      <c r="I265" s="210">
        <f t="shared" ref="I265:I266" si="212">+C265+G265+H265</f>
        <v>10.011324177313229</v>
      </c>
      <c r="J265" s="211">
        <f t="shared" ref="J265:J266" si="213">+D265+G265+H265</f>
        <v>10.311324177313228</v>
      </c>
      <c r="K265" s="307">
        <f t="shared" ref="K265:K266" si="214">(J265-I265)/I265</f>
        <v>2.9966065895641679E-2</v>
      </c>
      <c r="M265" s="211"/>
      <c r="N265" s="88">
        <v>349</v>
      </c>
      <c r="O265" s="274" t="s">
        <v>585</v>
      </c>
      <c r="P265" s="302">
        <f>VLOOKUP($N265,INPUT!$AB$9:$AF$161,3,FALSE)</f>
        <v>9.9600000000000009</v>
      </c>
      <c r="Q265" s="302">
        <f>VLOOKUP($N265,INPUT!$AB$9:$AF$161,4,FALSE)</f>
        <v>10.26</v>
      </c>
      <c r="R265" s="198">
        <f>VLOOKUP($N265,INPUT!$AB$9:$AF$161,5,FALSE)</f>
        <v>0.10199999999999999</v>
      </c>
      <c r="S265" s="196">
        <f>($R265*INPUT!$P$60)*INPUT!$G$63</f>
        <v>-2.1546541753762433E-2</v>
      </c>
      <c r="T265" s="196">
        <f>($R265*INPUT!$P$60)*INPUT!$I$63</f>
        <v>7.2870719066990455E-2</v>
      </c>
      <c r="U265" s="197">
        <f t="shared" ref="U265:U266" si="215">+P265+S265+T265</f>
        <v>10.011324177313229</v>
      </c>
      <c r="V265" s="197">
        <f t="shared" ref="V265:V266" si="216">+Q265+S265+T265</f>
        <v>10.311324177313228</v>
      </c>
    </row>
    <row r="266" spans="1:22" ht="15.75" thickBot="1" x14ac:dyDescent="0.25">
      <c r="A266" s="199" t="s">
        <v>586</v>
      </c>
      <c r="B266" s="189">
        <f t="shared" si="205"/>
        <v>0.44700000000000001</v>
      </c>
      <c r="C266" s="210">
        <f t="shared" si="206"/>
        <v>14.2</v>
      </c>
      <c r="D266" s="210">
        <f t="shared" si="207"/>
        <v>14.62</v>
      </c>
      <c r="E266" s="211">
        <f t="shared" si="208"/>
        <v>0.41999999999999993</v>
      </c>
      <c r="F266" s="307">
        <f t="shared" si="209"/>
        <v>2.8727770177838573E-2</v>
      </c>
      <c r="G266" s="211">
        <f t="shared" si="210"/>
        <v>-9.4424550626782441E-2</v>
      </c>
      <c r="H266" s="211">
        <f t="shared" si="211"/>
        <v>0.31934521002887001</v>
      </c>
      <c r="I266" s="210">
        <f t="shared" si="212"/>
        <v>14.424920659402087</v>
      </c>
      <c r="J266" s="211">
        <f t="shared" si="213"/>
        <v>14.844920659402087</v>
      </c>
      <c r="K266" s="307">
        <f t="shared" si="214"/>
        <v>2.9116277996735194E-2</v>
      </c>
      <c r="M266" s="211"/>
      <c r="N266" s="88">
        <v>348</v>
      </c>
      <c r="O266" s="274" t="s">
        <v>586</v>
      </c>
      <c r="P266" s="302">
        <f>VLOOKUP($N266,INPUT!$AB$9:$AF$161,3,FALSE)</f>
        <v>14.2</v>
      </c>
      <c r="Q266" s="302">
        <f>VLOOKUP($N266,INPUT!$AB$9:$AF$161,4,FALSE)</f>
        <v>14.62</v>
      </c>
      <c r="R266" s="198">
        <f>VLOOKUP($N266,INPUT!$AB$9:$AF$161,5,FALSE)</f>
        <v>0.44700000000000001</v>
      </c>
      <c r="S266" s="196">
        <f>($R266*INPUT!$P$60)*INPUT!$G$63</f>
        <v>-9.4424550626782441E-2</v>
      </c>
      <c r="T266" s="196">
        <f>($R266*INPUT!$P$60)*INPUT!$I$63</f>
        <v>0.31934521002887001</v>
      </c>
      <c r="U266" s="197">
        <f t="shared" si="215"/>
        <v>14.424920659402087</v>
      </c>
      <c r="V266" s="197">
        <f t="shared" si="216"/>
        <v>14.844920659402087</v>
      </c>
    </row>
    <row r="267" spans="1:22" x14ac:dyDescent="0.2">
      <c r="A267" s="199"/>
      <c r="B267" s="189"/>
      <c r="C267" s="210"/>
      <c r="D267" s="210"/>
      <c r="E267" s="211"/>
      <c r="F267" s="195"/>
      <c r="G267" s="211"/>
      <c r="H267" s="211"/>
      <c r="I267" s="211"/>
      <c r="J267" s="211"/>
      <c r="K267" s="195"/>
      <c r="M267" s="211"/>
      <c r="O267" s="221"/>
      <c r="P267" s="203"/>
      <c r="Q267" s="203"/>
      <c r="R267" s="198"/>
      <c r="S267" s="196"/>
      <c r="T267" s="196"/>
      <c r="U267" s="197"/>
      <c r="V267" s="197"/>
    </row>
    <row r="268" spans="1:22" ht="13.5" thickBot="1" x14ac:dyDescent="0.25">
      <c r="A268" s="190" t="s">
        <v>516</v>
      </c>
      <c r="B268" s="189"/>
      <c r="C268" s="210"/>
      <c r="D268" s="210"/>
      <c r="E268" s="211"/>
      <c r="F268" s="195"/>
      <c r="G268" s="211"/>
      <c r="H268" s="211"/>
      <c r="I268" s="211"/>
      <c r="J268" s="211"/>
      <c r="K268" s="195"/>
      <c r="M268" s="211"/>
      <c r="O268" s="221"/>
      <c r="P268" s="203"/>
      <c r="Q268" s="203"/>
      <c r="R268" s="198"/>
      <c r="S268" s="196"/>
      <c r="T268" s="196"/>
      <c r="U268" s="197"/>
      <c r="V268" s="197"/>
    </row>
    <row r="269" spans="1:22" ht="15.75" thickBot="1" x14ac:dyDescent="0.25">
      <c r="A269" s="199" t="s">
        <v>514</v>
      </c>
      <c r="B269" s="189" t="s">
        <v>500</v>
      </c>
      <c r="C269" s="210">
        <f t="shared" ref="C269:C272" si="217">P269</f>
        <v>11.32</v>
      </c>
      <c r="D269" s="210">
        <f t="shared" ref="D269:D272" si="218">Q269</f>
        <v>11.66</v>
      </c>
      <c r="E269" s="211">
        <f t="shared" ref="E269:E272" si="219">+D269-C269</f>
        <v>0.33999999999999986</v>
      </c>
      <c r="F269" s="307">
        <f t="shared" ref="F269:F272" si="220">+E269/D269</f>
        <v>2.9159519725557449E-2</v>
      </c>
      <c r="G269" s="211">
        <f t="shared" ref="G269:G272" si="221">+S269</f>
        <v>0</v>
      </c>
      <c r="H269" s="211">
        <f t="shared" ref="H269:H272" si="222">+T269</f>
        <v>0</v>
      </c>
      <c r="I269" s="210">
        <f t="shared" ref="I269:I272" si="223">+C269+G269+H269</f>
        <v>11.32</v>
      </c>
      <c r="J269" s="211">
        <f t="shared" ref="J269:J272" si="224">+D269+G269+H269</f>
        <v>11.66</v>
      </c>
      <c r="K269" s="307">
        <f t="shared" ref="K269:K272" si="225">(J269-I269)/I269</f>
        <v>3.0035335689045924E-2</v>
      </c>
      <c r="M269" s="211"/>
      <c r="N269" s="88">
        <v>958</v>
      </c>
      <c r="O269" s="274" t="s">
        <v>514</v>
      </c>
      <c r="P269" s="302">
        <f>VLOOKUP($N269,INPUT!$AB$9:$AF$161,3,FALSE)</f>
        <v>11.32</v>
      </c>
      <c r="Q269" s="302">
        <f>VLOOKUP($N269,INPUT!$AB$9:$AF$161,4,FALSE)</f>
        <v>11.66</v>
      </c>
      <c r="R269" s="198">
        <f>VLOOKUP($N269,INPUT!$AB$9:$AF$161,5,FALSE)</f>
        <v>0</v>
      </c>
      <c r="S269" s="196">
        <f>($R269*INPUT!$P$60)*INPUT!$G$63</f>
        <v>0</v>
      </c>
      <c r="T269" s="196">
        <f>($R269*INPUT!$P$60)*INPUT!$I$63</f>
        <v>0</v>
      </c>
      <c r="U269" s="197">
        <f t="shared" ref="U269:U272" si="226">+P269+S269+T269</f>
        <v>11.32</v>
      </c>
      <c r="V269" s="197">
        <f t="shared" ref="V269:V272" si="227">+Q269+S269+T269</f>
        <v>11.66</v>
      </c>
    </row>
    <row r="270" spans="1:22" ht="15.75" thickBot="1" x14ac:dyDescent="0.25">
      <c r="A270" s="199" t="s">
        <v>515</v>
      </c>
      <c r="B270" s="189" t="s">
        <v>500</v>
      </c>
      <c r="C270" s="210">
        <f t="shared" si="217"/>
        <v>2.15</v>
      </c>
      <c r="D270" s="210">
        <f t="shared" si="218"/>
        <v>2.21</v>
      </c>
      <c r="E270" s="211">
        <f t="shared" si="219"/>
        <v>6.0000000000000053E-2</v>
      </c>
      <c r="F270" s="307">
        <f t="shared" si="220"/>
        <v>2.7149321266968351E-2</v>
      </c>
      <c r="G270" s="211">
        <f t="shared" si="221"/>
        <v>0</v>
      </c>
      <c r="H270" s="211">
        <f t="shared" si="222"/>
        <v>0</v>
      </c>
      <c r="I270" s="210">
        <f t="shared" si="223"/>
        <v>2.15</v>
      </c>
      <c r="J270" s="211">
        <f t="shared" si="224"/>
        <v>2.21</v>
      </c>
      <c r="K270" s="307">
        <f t="shared" si="225"/>
        <v>2.7906976744186074E-2</v>
      </c>
      <c r="M270" s="211"/>
      <c r="N270" s="193">
        <v>900</v>
      </c>
      <c r="O270" s="274" t="s">
        <v>515</v>
      </c>
      <c r="P270" s="302">
        <f>VLOOKUP($N270,INPUT!$AB$9:$AF$161,3,FALSE)</f>
        <v>2.15</v>
      </c>
      <c r="Q270" s="302">
        <f>VLOOKUP($N270,INPUT!$AB$9:$AF$161,4,FALSE)</f>
        <v>2.21</v>
      </c>
      <c r="R270" s="198">
        <f>VLOOKUP($N270,INPUT!$AB$9:$AF$161,5,FALSE)</f>
        <v>0</v>
      </c>
      <c r="S270" s="196">
        <f>($R270*INPUT!$P$60)*INPUT!$G$63</f>
        <v>0</v>
      </c>
      <c r="T270" s="196">
        <f>($R270*INPUT!$P$60)*INPUT!$I$63</f>
        <v>0</v>
      </c>
      <c r="U270" s="197">
        <f t="shared" si="226"/>
        <v>2.15</v>
      </c>
      <c r="V270" s="197">
        <f t="shared" si="227"/>
        <v>2.21</v>
      </c>
    </row>
    <row r="271" spans="1:22" ht="15.75" thickBot="1" x14ac:dyDescent="0.25">
      <c r="A271" s="199" t="s">
        <v>519</v>
      </c>
      <c r="B271" s="189" t="s">
        <v>500</v>
      </c>
      <c r="C271" s="210">
        <f t="shared" si="217"/>
        <v>10.82</v>
      </c>
      <c r="D271" s="210">
        <f t="shared" si="218"/>
        <v>11.14</v>
      </c>
      <c r="E271" s="211">
        <f t="shared" si="219"/>
        <v>0.32000000000000028</v>
      </c>
      <c r="F271" s="307">
        <f t="shared" si="220"/>
        <v>2.8725314183123903E-2</v>
      </c>
      <c r="G271" s="211">
        <f t="shared" si="221"/>
        <v>0</v>
      </c>
      <c r="H271" s="211">
        <f t="shared" si="222"/>
        <v>0</v>
      </c>
      <c r="I271" s="210">
        <f t="shared" si="223"/>
        <v>10.82</v>
      </c>
      <c r="J271" s="211">
        <f t="shared" si="224"/>
        <v>11.14</v>
      </c>
      <c r="K271" s="307">
        <f t="shared" si="225"/>
        <v>2.9574861367837362E-2</v>
      </c>
      <c r="M271" s="211"/>
      <c r="N271" s="193">
        <v>901</v>
      </c>
      <c r="O271" s="274" t="s">
        <v>519</v>
      </c>
      <c r="P271" s="302">
        <f>VLOOKUP($N271,INPUT!$AB$9:$AF$161,3,FALSE)</f>
        <v>10.82</v>
      </c>
      <c r="Q271" s="302">
        <f>VLOOKUP($N271,INPUT!$AB$9:$AF$161,4,FALSE)</f>
        <v>11.14</v>
      </c>
      <c r="R271" s="198">
        <f>VLOOKUP($N271,INPUT!$AB$9:$AF$161,5,FALSE)</f>
        <v>0</v>
      </c>
      <c r="S271" s="196">
        <f>($R271*INPUT!$P$60)*INPUT!$G$63</f>
        <v>0</v>
      </c>
      <c r="T271" s="196">
        <f>($R271*INPUT!$P$60)*INPUT!$I$63</f>
        <v>0</v>
      </c>
      <c r="U271" s="197">
        <f t="shared" si="226"/>
        <v>10.82</v>
      </c>
      <c r="V271" s="197">
        <f t="shared" si="227"/>
        <v>11.14</v>
      </c>
    </row>
    <row r="272" spans="1:22" ht="15.75" thickBot="1" x14ac:dyDescent="0.25">
      <c r="A272" s="199" t="s">
        <v>520</v>
      </c>
      <c r="B272" s="189" t="s">
        <v>500</v>
      </c>
      <c r="C272" s="210">
        <f t="shared" si="217"/>
        <v>12.91</v>
      </c>
      <c r="D272" s="210">
        <f t="shared" si="218"/>
        <v>13.29</v>
      </c>
      <c r="E272" s="211">
        <f t="shared" si="219"/>
        <v>0.37999999999999901</v>
      </c>
      <c r="F272" s="307">
        <f t="shared" si="220"/>
        <v>2.8592927012791501E-2</v>
      </c>
      <c r="G272" s="211">
        <f t="shared" si="221"/>
        <v>0</v>
      </c>
      <c r="H272" s="211">
        <f t="shared" si="222"/>
        <v>0</v>
      </c>
      <c r="I272" s="210">
        <f t="shared" si="223"/>
        <v>12.91</v>
      </c>
      <c r="J272" s="211">
        <f t="shared" si="224"/>
        <v>13.29</v>
      </c>
      <c r="K272" s="307">
        <f t="shared" si="225"/>
        <v>2.9434546862896902E-2</v>
      </c>
      <c r="M272" s="211"/>
      <c r="N272" s="193">
        <v>902</v>
      </c>
      <c r="O272" s="274" t="s">
        <v>520</v>
      </c>
      <c r="P272" s="302">
        <f>VLOOKUP($N272,INPUT!$AB$9:$AF$161,3,FALSE)</f>
        <v>12.91</v>
      </c>
      <c r="Q272" s="302">
        <f>VLOOKUP($N272,INPUT!$AB$9:$AF$161,4,FALSE)</f>
        <v>13.29</v>
      </c>
      <c r="R272" s="198">
        <f>VLOOKUP($N272,INPUT!$AB$9:$AF$161,5,FALSE)</f>
        <v>0</v>
      </c>
      <c r="S272" s="196">
        <f>($R272*INPUT!$P$60)*INPUT!$G$63</f>
        <v>0</v>
      </c>
      <c r="T272" s="196">
        <f>($R272*INPUT!$P$60)*INPUT!$I$63</f>
        <v>0</v>
      </c>
      <c r="U272" s="197">
        <f t="shared" si="226"/>
        <v>12.91</v>
      </c>
      <c r="V272" s="197">
        <f t="shared" si="227"/>
        <v>13.29</v>
      </c>
    </row>
    <row r="273" spans="1:22" x14ac:dyDescent="0.2">
      <c r="A273" s="199"/>
      <c r="B273" s="189"/>
      <c r="C273" s="210"/>
      <c r="D273" s="210"/>
      <c r="E273" s="211"/>
      <c r="F273" s="195"/>
      <c r="G273" s="211"/>
      <c r="H273" s="211"/>
      <c r="I273" s="211"/>
      <c r="J273" s="211"/>
      <c r="K273" s="195"/>
      <c r="M273" s="211"/>
      <c r="O273" s="221"/>
      <c r="P273" s="203"/>
      <c r="Q273" s="203"/>
      <c r="R273" s="198"/>
      <c r="S273" s="196"/>
      <c r="T273" s="196"/>
      <c r="U273" s="197"/>
      <c r="V273" s="197"/>
    </row>
    <row r="274" spans="1:22" ht="13.5" thickBot="1" x14ac:dyDescent="0.25">
      <c r="A274" s="190" t="s">
        <v>521</v>
      </c>
      <c r="B274" s="189"/>
      <c r="C274" s="210"/>
      <c r="D274" s="210"/>
      <c r="E274" s="211"/>
      <c r="F274" s="195"/>
      <c r="G274" s="211"/>
      <c r="H274" s="211"/>
      <c r="I274" s="211"/>
      <c r="J274" s="211"/>
      <c r="K274" s="195"/>
      <c r="M274" s="211"/>
      <c r="O274" s="221"/>
      <c r="P274" s="203"/>
      <c r="Q274" s="203"/>
      <c r="R274" s="198"/>
      <c r="S274" s="196"/>
      <c r="T274" s="196"/>
      <c r="U274" s="197"/>
      <c r="V274" s="197"/>
    </row>
    <row r="275" spans="1:22" ht="15.75" thickBot="1" x14ac:dyDescent="0.25">
      <c r="A275" s="199" t="s">
        <v>525</v>
      </c>
      <c r="B275" s="189" t="s">
        <v>500</v>
      </c>
      <c r="C275" s="210">
        <f t="shared" ref="C275:C277" si="228">P275</f>
        <v>3.62</v>
      </c>
      <c r="D275" s="210">
        <f t="shared" ref="D275:D277" si="229">Q275</f>
        <v>3.73</v>
      </c>
      <c r="E275" s="211">
        <f t="shared" ref="E275:E277" si="230">+D275-C275</f>
        <v>0.10999999999999988</v>
      </c>
      <c r="F275" s="307">
        <f t="shared" ref="F275:F277" si="231">+E275/D275</f>
        <v>2.9490616621983882E-2</v>
      </c>
      <c r="G275" s="211">
        <f t="shared" ref="G275:G277" si="232">+S275</f>
        <v>0</v>
      </c>
      <c r="H275" s="211">
        <f t="shared" ref="H275:H277" si="233">+T275</f>
        <v>0</v>
      </c>
      <c r="I275" s="210">
        <f t="shared" ref="I275:I277" si="234">+C275+G275+H275</f>
        <v>3.62</v>
      </c>
      <c r="J275" s="211">
        <f t="shared" ref="J275:J277" si="235">+D275+G275+H275</f>
        <v>3.73</v>
      </c>
      <c r="K275" s="307">
        <f t="shared" ref="K275:K277" si="236">(J275-I275)/I275</f>
        <v>3.0386740331491677E-2</v>
      </c>
      <c r="M275" s="211"/>
      <c r="N275" s="193">
        <v>950</v>
      </c>
      <c r="O275" s="274" t="s">
        <v>525</v>
      </c>
      <c r="P275" s="302">
        <f>VLOOKUP($N275,INPUT!$AB$9:$AF$161,3,FALSE)</f>
        <v>3.62</v>
      </c>
      <c r="Q275" s="302">
        <f>VLOOKUP($N275,INPUT!$AB$9:$AF$161,4,FALSE)</f>
        <v>3.73</v>
      </c>
      <c r="R275" s="198">
        <f>VLOOKUP($N275,INPUT!$AB$9:$AF$161,5,FALSE)</f>
        <v>0</v>
      </c>
      <c r="S275" s="196">
        <f>($R275*INPUT!$P$60)*INPUT!$G$63</f>
        <v>0</v>
      </c>
      <c r="T275" s="196">
        <f>($R275*INPUT!$P$60)*INPUT!$I$63</f>
        <v>0</v>
      </c>
      <c r="U275" s="197">
        <f t="shared" ref="U275:U277" si="237">+P275+S275+T275</f>
        <v>3.62</v>
      </c>
      <c r="V275" s="197">
        <f t="shared" ref="V275:V277" si="238">+Q275+S275+T275</f>
        <v>3.73</v>
      </c>
    </row>
    <row r="276" spans="1:22" ht="15.75" thickBot="1" x14ac:dyDescent="0.25">
      <c r="A276" s="199" t="s">
        <v>526</v>
      </c>
      <c r="B276" s="189" t="s">
        <v>500</v>
      </c>
      <c r="C276" s="210">
        <f t="shared" si="228"/>
        <v>3.83</v>
      </c>
      <c r="D276" s="210">
        <f t="shared" si="229"/>
        <v>3.94</v>
      </c>
      <c r="E276" s="211">
        <f t="shared" si="230"/>
        <v>0.10999999999999988</v>
      </c>
      <c r="F276" s="307">
        <f t="shared" si="231"/>
        <v>2.7918781725888294E-2</v>
      </c>
      <c r="G276" s="211">
        <f t="shared" si="232"/>
        <v>0</v>
      </c>
      <c r="H276" s="211">
        <f t="shared" si="233"/>
        <v>0</v>
      </c>
      <c r="I276" s="210">
        <f t="shared" si="234"/>
        <v>3.83</v>
      </c>
      <c r="J276" s="211">
        <f t="shared" si="235"/>
        <v>3.94</v>
      </c>
      <c r="K276" s="307">
        <f t="shared" si="236"/>
        <v>2.8720626631853752E-2</v>
      </c>
      <c r="M276" s="211"/>
      <c r="N276" s="193">
        <v>951</v>
      </c>
      <c r="O276" s="274" t="s">
        <v>526</v>
      </c>
      <c r="P276" s="302">
        <f>VLOOKUP($N276,INPUT!$AB$9:$AF$161,3,FALSE)</f>
        <v>3.83</v>
      </c>
      <c r="Q276" s="302">
        <f>VLOOKUP($N276,INPUT!$AB$9:$AF$161,4,FALSE)</f>
        <v>3.94</v>
      </c>
      <c r="R276" s="198">
        <f>VLOOKUP($N276,INPUT!$AB$9:$AF$161,5,FALSE)</f>
        <v>0</v>
      </c>
      <c r="S276" s="196">
        <f>($R276*INPUT!$P$60)*INPUT!$G$63</f>
        <v>0</v>
      </c>
      <c r="T276" s="196">
        <f>($R276*INPUT!$P$60)*INPUT!$I$63</f>
        <v>0</v>
      </c>
      <c r="U276" s="197">
        <f t="shared" si="237"/>
        <v>3.83</v>
      </c>
      <c r="V276" s="197">
        <f t="shared" si="238"/>
        <v>3.94</v>
      </c>
    </row>
    <row r="277" spans="1:22" ht="15.75" thickBot="1" x14ac:dyDescent="0.25">
      <c r="A277" s="199" t="s">
        <v>527</v>
      </c>
      <c r="B277" s="189" t="s">
        <v>500</v>
      </c>
      <c r="C277" s="210">
        <f t="shared" si="228"/>
        <v>3.71</v>
      </c>
      <c r="D277" s="210">
        <f t="shared" si="229"/>
        <v>3.82</v>
      </c>
      <c r="E277" s="211">
        <f t="shared" si="230"/>
        <v>0.10999999999999988</v>
      </c>
      <c r="F277" s="307">
        <f t="shared" si="231"/>
        <v>2.8795811518324575E-2</v>
      </c>
      <c r="G277" s="211">
        <f t="shared" si="232"/>
        <v>0</v>
      </c>
      <c r="H277" s="211">
        <f t="shared" si="233"/>
        <v>0</v>
      </c>
      <c r="I277" s="210">
        <f t="shared" si="234"/>
        <v>3.71</v>
      </c>
      <c r="J277" s="211">
        <f t="shared" si="235"/>
        <v>3.82</v>
      </c>
      <c r="K277" s="307">
        <f t="shared" si="236"/>
        <v>2.9649595687331502E-2</v>
      </c>
      <c r="M277" s="211"/>
      <c r="N277" s="193">
        <v>956</v>
      </c>
      <c r="O277" s="274" t="s">
        <v>527</v>
      </c>
      <c r="P277" s="302">
        <f>VLOOKUP($N277,INPUT!$AB$9:$AF$161,3,FALSE)</f>
        <v>3.71</v>
      </c>
      <c r="Q277" s="302">
        <f>VLOOKUP($N277,INPUT!$AB$9:$AF$161,4,FALSE)</f>
        <v>3.82</v>
      </c>
      <c r="R277" s="198">
        <f>VLOOKUP($N277,INPUT!$AB$9:$AF$161,5,FALSE)</f>
        <v>0</v>
      </c>
      <c r="S277" s="196">
        <f>($R277*INPUT!$P$60)*INPUT!$G$63</f>
        <v>0</v>
      </c>
      <c r="T277" s="196">
        <f>($R277*INPUT!$P$60)*INPUT!$I$63</f>
        <v>0</v>
      </c>
      <c r="U277" s="197">
        <f t="shared" si="237"/>
        <v>3.71</v>
      </c>
      <c r="V277" s="197">
        <f t="shared" si="238"/>
        <v>3.82</v>
      </c>
    </row>
    <row r="279" spans="1:22" x14ac:dyDescent="0.2">
      <c r="A279" s="175" t="s">
        <v>314</v>
      </c>
    </row>
    <row r="280" spans="1:22" x14ac:dyDescent="0.2">
      <c r="A280" s="172" t="s">
        <v>328</v>
      </c>
    </row>
    <row r="281" spans="1:22" x14ac:dyDescent="0.2">
      <c r="A281" s="172" t="str">
        <f>+'Rate Case Constants'!$C$26</f>
        <v>Calculations may vary from other schedules due to rounding</v>
      </c>
    </row>
    <row r="282" spans="1:22" x14ac:dyDescent="0.2">
      <c r="A282" s="172" t="s">
        <v>377</v>
      </c>
    </row>
  </sheetData>
  <mergeCells count="35">
    <mergeCell ref="A110:K110"/>
    <mergeCell ref="A111:K111"/>
    <mergeCell ref="A108:K108"/>
    <mergeCell ref="A33:K33"/>
    <mergeCell ref="A34:K34"/>
    <mergeCell ref="A35:K35"/>
    <mergeCell ref="G12:H12"/>
    <mergeCell ref="A109:K109"/>
    <mergeCell ref="A1:K1"/>
    <mergeCell ref="A2:K2"/>
    <mergeCell ref="A3:K3"/>
    <mergeCell ref="A4:K4"/>
    <mergeCell ref="A32:K32"/>
    <mergeCell ref="G43:H43"/>
    <mergeCell ref="A73:K73"/>
    <mergeCell ref="A74:K74"/>
    <mergeCell ref="A75:K75"/>
    <mergeCell ref="A76:K76"/>
    <mergeCell ref="G84:H84"/>
    <mergeCell ref="A195:K195"/>
    <mergeCell ref="G204:H204"/>
    <mergeCell ref="G119:H119"/>
    <mergeCell ref="G157:H157"/>
    <mergeCell ref="A192:K192"/>
    <mergeCell ref="A193:K193"/>
    <mergeCell ref="A194:K194"/>
    <mergeCell ref="A146:K146"/>
    <mergeCell ref="A148:K148"/>
    <mergeCell ref="A149:K149"/>
    <mergeCell ref="A147:K147"/>
    <mergeCell ref="A239:K239"/>
    <mergeCell ref="A240:K240"/>
    <mergeCell ref="A241:K241"/>
    <mergeCell ref="A242:K242"/>
    <mergeCell ref="G251:H251"/>
  </mergeCells>
  <phoneticPr fontId="5" type="noConversion"/>
  <printOptions horizontalCentered="1"/>
  <pageMargins left="0.75" right="0.75" top="1.5" bottom="0.5" header="1" footer="0.5"/>
  <pageSetup scale="70" fitToWidth="0" fitToHeight="0" orientation="landscape" r:id="rId1"/>
  <headerFooter alignWithMargins="0"/>
  <rowBreaks count="6" manualBreakCount="6">
    <brk id="31" max="10" man="1"/>
    <brk id="72" max="10" man="1"/>
    <brk id="107" max="10" man="1"/>
    <brk id="145" max="10" man="1"/>
    <brk id="191" max="10" man="1"/>
    <brk id="238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52"/>
  <sheetViews>
    <sheetView view="pageBreakPreview" zoomScale="90" zoomScaleNormal="80" zoomScaleSheetLayoutView="90" workbookViewId="0">
      <selection sqref="A1:K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customWidth="1"/>
    <col min="9" max="10" width="11.140625" bestFit="1" customWidth="1"/>
    <col min="11" max="11" width="9.28515625" bestFit="1" customWidth="1"/>
    <col min="12" max="15" width="3.5703125" customWidth="1"/>
    <col min="16" max="16" width="11.85546875" customWidth="1"/>
    <col min="17" max="17" width="9.85546875" customWidth="1"/>
    <col min="18" max="18" width="9.5703125" customWidth="1"/>
    <col min="19" max="19" width="7.140625" customWidth="1"/>
    <col min="20" max="20" width="11.5703125" customWidth="1"/>
    <col min="21" max="21" width="9.5703125" customWidth="1"/>
    <col min="23" max="24" width="3" customWidth="1"/>
    <col min="26" max="26" width="2.7109375" customWidth="1"/>
  </cols>
  <sheetData>
    <row r="1" spans="1:28" x14ac:dyDescent="0.2">
      <c r="A1" s="429" t="str">
        <f>+'Rate Case Constants'!C9</f>
        <v>LOUISVILLE GAS AND ELECTRIC COMPANY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28" x14ac:dyDescent="0.2">
      <c r="A2" s="429" t="str">
        <f>+'Rate Case Constants'!C10</f>
        <v>CASE NO. 2018-00295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28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1:28" x14ac:dyDescent="0.2">
      <c r="A4" s="429" t="str">
        <f>+'Rate Case Constants'!C21</f>
        <v>FORECAST PERIOD FOR THE 12 MONTHS ENDED APRIL 30, 2020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28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</row>
    <row r="6" spans="1:28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</row>
    <row r="7" spans="1:28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50" t="str">
        <f>+'Rate Case Constants'!C25</f>
        <v>SCHEDULE N</v>
      </c>
    </row>
    <row r="8" spans="1:28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51" t="str">
        <f>+'Rate Case Constants'!L28</f>
        <v>PAGE 21 of 26</v>
      </c>
      <c r="L8" s="151"/>
    </row>
    <row r="9" spans="1:28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51" t="str">
        <f>+'Rate Case Constants'!C36</f>
        <v>WITNESS:   R. M. CONROY</v>
      </c>
    </row>
    <row r="10" spans="1:28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P10" s="30" t="s">
        <v>70</v>
      </c>
      <c r="Q10">
        <f>+INPUT!G64</f>
        <v>-5.9866204862220199E-4</v>
      </c>
    </row>
    <row r="11" spans="1:28" x14ac:dyDescent="0.2">
      <c r="A11" s="260" t="s">
        <v>105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71</v>
      </c>
      <c r="Q11" s="30">
        <f>+INPUT!I64</f>
        <v>4.987241973514021E-3</v>
      </c>
      <c r="R11" s="30"/>
      <c r="S11" s="30"/>
      <c r="T11" s="33"/>
      <c r="U11" s="30"/>
      <c r="V11" s="30"/>
    </row>
    <row r="12" spans="1:28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8" x14ac:dyDescent="0.2">
      <c r="A13" s="30"/>
      <c r="B13" s="30"/>
      <c r="C13" s="164" t="s">
        <v>304</v>
      </c>
      <c r="D13" s="165" t="s">
        <v>305</v>
      </c>
      <c r="E13" s="165" t="s">
        <v>306</v>
      </c>
      <c r="F13" s="164" t="s">
        <v>307</v>
      </c>
      <c r="G13" s="164" t="s">
        <v>308</v>
      </c>
      <c r="H13" s="164" t="s">
        <v>309</v>
      </c>
      <c r="I13" s="165" t="s">
        <v>310</v>
      </c>
      <c r="J13" s="164" t="s">
        <v>311</v>
      </c>
      <c r="K13" s="164" t="s">
        <v>312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8" x14ac:dyDescent="0.2">
      <c r="C14" s="231" t="s">
        <v>339</v>
      </c>
      <c r="D14" s="231" t="s">
        <v>339</v>
      </c>
      <c r="G14" s="30"/>
      <c r="H14" s="30"/>
      <c r="I14" s="3" t="s">
        <v>5</v>
      </c>
      <c r="J14" s="3" t="s">
        <v>5</v>
      </c>
      <c r="P14" s="49" t="s">
        <v>60</v>
      </c>
      <c r="Q14" s="49"/>
      <c r="R14" s="49"/>
      <c r="T14" s="49" t="s">
        <v>61</v>
      </c>
      <c r="U14" s="49"/>
      <c r="V14" s="49"/>
    </row>
    <row r="15" spans="1:28" x14ac:dyDescent="0.2">
      <c r="C15" s="3" t="s">
        <v>1</v>
      </c>
      <c r="D15" s="3" t="s">
        <v>73</v>
      </c>
      <c r="E15" s="3"/>
      <c r="F15" s="3"/>
      <c r="G15" s="440" t="s">
        <v>126</v>
      </c>
      <c r="H15" s="440"/>
      <c r="I15" s="3" t="s">
        <v>1</v>
      </c>
      <c r="J15" s="3" t="s">
        <v>73</v>
      </c>
      <c r="K15" s="3"/>
      <c r="P15" s="26" t="s">
        <v>63</v>
      </c>
      <c r="Q15" s="3"/>
      <c r="R15" s="26"/>
      <c r="T15" s="26" t="s">
        <v>63</v>
      </c>
      <c r="U15" s="3"/>
      <c r="V15" s="26"/>
    </row>
    <row r="16" spans="1:28" x14ac:dyDescent="0.2">
      <c r="A16" s="3"/>
      <c r="B16" s="3"/>
      <c r="C16" s="3" t="s">
        <v>4</v>
      </c>
      <c r="D16" s="3" t="s">
        <v>4</v>
      </c>
      <c r="E16" s="3" t="s">
        <v>74</v>
      </c>
      <c r="F16" s="3" t="s">
        <v>74</v>
      </c>
      <c r="G16" s="164" t="s">
        <v>376</v>
      </c>
      <c r="H16" s="51" t="s">
        <v>71</v>
      </c>
      <c r="I16" s="3" t="s">
        <v>4</v>
      </c>
      <c r="J16" s="3" t="s">
        <v>4</v>
      </c>
      <c r="K16" s="3" t="s">
        <v>74</v>
      </c>
      <c r="L16" s="3"/>
      <c r="M16" s="3"/>
      <c r="N16" s="3"/>
      <c r="O16" s="3"/>
      <c r="P16" s="26" t="s">
        <v>62</v>
      </c>
      <c r="Q16" s="3" t="s">
        <v>57</v>
      </c>
      <c r="R16" s="26" t="s">
        <v>5</v>
      </c>
      <c r="T16" s="26" t="s">
        <v>62</v>
      </c>
      <c r="U16" s="3" t="s">
        <v>57</v>
      </c>
      <c r="V16" s="26" t="s">
        <v>5</v>
      </c>
      <c r="X16" s="2"/>
      <c r="Y16" s="3" t="s">
        <v>6</v>
      </c>
      <c r="Z16" s="3"/>
      <c r="AA16" s="3" t="s">
        <v>8</v>
      </c>
      <c r="AB16" s="3"/>
    </row>
    <row r="17" spans="1:28" x14ac:dyDescent="0.2">
      <c r="A17" s="3" t="s">
        <v>50</v>
      </c>
      <c r="B17" s="3"/>
      <c r="C17" s="3"/>
      <c r="D17" s="3"/>
      <c r="E17" s="3" t="s">
        <v>68</v>
      </c>
      <c r="F17" s="26" t="s">
        <v>69</v>
      </c>
      <c r="G17" s="50"/>
      <c r="H17" s="52"/>
      <c r="I17" s="3" t="s">
        <v>68</v>
      </c>
      <c r="J17" s="3" t="s">
        <v>68</v>
      </c>
      <c r="K17" s="26" t="s">
        <v>69</v>
      </c>
      <c r="L17" s="3"/>
      <c r="M17" s="3"/>
      <c r="N17" s="3"/>
      <c r="O17" s="3"/>
      <c r="P17" s="79" t="s">
        <v>3</v>
      </c>
      <c r="Q17" s="80" t="s">
        <v>3</v>
      </c>
      <c r="R17" s="79" t="s">
        <v>4</v>
      </c>
      <c r="T17" s="79" t="s">
        <v>3</v>
      </c>
      <c r="U17" s="80" t="s">
        <v>3</v>
      </c>
      <c r="V17" s="79" t="s">
        <v>4</v>
      </c>
      <c r="X17" s="2"/>
      <c r="Y17" s="3" t="s">
        <v>7</v>
      </c>
      <c r="Z17" s="3"/>
      <c r="AA17" s="3" t="s">
        <v>7</v>
      </c>
      <c r="AB17" s="3"/>
    </row>
    <row r="18" spans="1:28" x14ac:dyDescent="0.2">
      <c r="A18" s="80"/>
      <c r="B18" s="80"/>
      <c r="C18" s="80"/>
      <c r="D18" s="80"/>
      <c r="E18" s="234" t="str">
        <f>("[ "&amp;D13&amp;" - "&amp;C13&amp;" ]")</f>
        <v>[ B - A ]</v>
      </c>
      <c r="F18" s="234" t="str">
        <f>("[ "&amp;E13&amp;" / "&amp;C13&amp;" ]")</f>
        <v>[ C / A ]</v>
      </c>
      <c r="G18" s="264"/>
      <c r="H18" s="264"/>
      <c r="I18" s="234" t="str">
        <f>("["&amp;C13&amp;"+"&amp;$G$13&amp;"+"&amp;$H$13&amp;"]")</f>
        <v>[A+E+F]</v>
      </c>
      <c r="J18" s="234" t="str">
        <f>("["&amp;D13&amp;"+"&amp;$G$13&amp;"+"&amp;$H$13&amp;"]")</f>
        <v>[B+E+F]</v>
      </c>
      <c r="K18" s="234" t="str">
        <f>("[("&amp;J13&amp;"-"&amp;I13&amp;")/"&amp;I13&amp;"]")</f>
        <v>[(H-G)/G]</v>
      </c>
      <c r="M18" s="3"/>
      <c r="N18" s="3"/>
      <c r="O18" s="3"/>
      <c r="P18" s="26"/>
      <c r="Q18" s="32">
        <f>+INPUT!$O$6</f>
        <v>7.0459999999999995E-2</v>
      </c>
      <c r="R18" s="26"/>
      <c r="T18" s="26"/>
      <c r="U18" s="32">
        <f>INPUT!$O$28</f>
        <v>7.0459999999999995E-2</v>
      </c>
      <c r="V18" s="26"/>
      <c r="X18" s="2"/>
      <c r="Y18" s="3"/>
      <c r="Z18" s="3"/>
      <c r="AA18" s="3"/>
      <c r="AB18" s="3"/>
    </row>
    <row r="19" spans="1:28" x14ac:dyDescent="0.2">
      <c r="A19" s="3"/>
      <c r="B19" s="3"/>
      <c r="C19" s="3"/>
      <c r="D19" s="3"/>
      <c r="E19" s="3"/>
      <c r="F19" s="3"/>
      <c r="G19" s="30"/>
      <c r="H19" s="30"/>
      <c r="I19" s="3"/>
      <c r="J19" s="3"/>
      <c r="K19" s="3"/>
      <c r="L19" s="3"/>
      <c r="M19" s="3"/>
      <c r="N19" s="3"/>
      <c r="O19" s="3"/>
      <c r="P19" s="26"/>
      <c r="Q19" s="3" t="s">
        <v>14</v>
      </c>
      <c r="R19" s="26"/>
      <c r="T19" s="26"/>
      <c r="U19" s="3" t="s">
        <v>14</v>
      </c>
      <c r="V19" s="26"/>
      <c r="X19" s="2"/>
      <c r="Y19" s="3"/>
      <c r="Z19" s="3"/>
      <c r="AA19" s="3"/>
      <c r="AB19" s="3"/>
    </row>
    <row r="20" spans="1:2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U20" s="3"/>
      <c r="V20" s="3"/>
    </row>
    <row r="21" spans="1:28" x14ac:dyDescent="0.2">
      <c r="A21" s="1">
        <v>500</v>
      </c>
      <c r="C21" s="6">
        <f>+R21</f>
        <v>35.229999999999997</v>
      </c>
      <c r="D21" s="6">
        <f>+V21</f>
        <v>35.229999999999997</v>
      </c>
      <c r="E21" s="29">
        <f>+D21-C21</f>
        <v>0</v>
      </c>
      <c r="F21" s="54">
        <f>ROUND(+E21/C21,4)</f>
        <v>0</v>
      </c>
      <c r="G21" s="29">
        <f>ROUND($Q$10*$A21,2)</f>
        <v>-0.3</v>
      </c>
      <c r="H21" s="29">
        <f>ROUND($Q$11*$A21,2)</f>
        <v>2.4900000000000002</v>
      </c>
      <c r="I21" s="29">
        <f>+C21+G21+H21</f>
        <v>37.42</v>
      </c>
      <c r="J21" s="29">
        <f>+D21+G21+H21</f>
        <v>37.42</v>
      </c>
      <c r="K21" s="54">
        <f>ROUND((J21-I21)/I21,4)</f>
        <v>0</v>
      </c>
      <c r="P21" s="7">
        <f>+INPUT!$O$4</f>
        <v>0</v>
      </c>
      <c r="Q21" s="6">
        <f>A21*$Q$18</f>
        <v>35.229999999999997</v>
      </c>
      <c r="R21" s="6">
        <f>P21+Q21</f>
        <v>35.229999999999997</v>
      </c>
      <c r="T21" s="7">
        <f>INPUT!$O$26</f>
        <v>0</v>
      </c>
      <c r="U21" s="6">
        <f>A21*$U$18</f>
        <v>35.229999999999997</v>
      </c>
      <c r="V21" s="6">
        <f>T21+U21</f>
        <v>35.229999999999997</v>
      </c>
      <c r="Y21" s="6">
        <f>V21-R21</f>
        <v>0</v>
      </c>
      <c r="AA21" s="8">
        <f>V21/R21-1</f>
        <v>0</v>
      </c>
      <c r="AB21" s="8"/>
    </row>
    <row r="22" spans="1:28" x14ac:dyDescent="0.2">
      <c r="A22" s="1"/>
      <c r="P22" s="7"/>
      <c r="Q22" s="6"/>
      <c r="R22" s="6"/>
      <c r="T22" s="7"/>
      <c r="U22" s="6"/>
      <c r="V22" s="6"/>
      <c r="AA22" s="8"/>
      <c r="AB22" s="8"/>
    </row>
    <row r="23" spans="1:28" x14ac:dyDescent="0.2">
      <c r="A23" s="1">
        <v>1000</v>
      </c>
      <c r="C23" s="6">
        <f>+R23</f>
        <v>70.459999999999994</v>
      </c>
      <c r="D23" s="6">
        <f>+V23</f>
        <v>70.459999999999994</v>
      </c>
      <c r="E23" s="29">
        <f>+D23-C23</f>
        <v>0</v>
      </c>
      <c r="F23" s="54">
        <f>ROUND(+E23/C23,4)</f>
        <v>0</v>
      </c>
      <c r="G23" s="29">
        <f>ROUND($Q$10*$A23,2)</f>
        <v>-0.6</v>
      </c>
      <c r="H23" s="29">
        <f>ROUND($Q$11*$A23,2)</f>
        <v>4.99</v>
      </c>
      <c r="I23" s="29">
        <f>+C23+G23+H23</f>
        <v>74.849999999999994</v>
      </c>
      <c r="J23" s="29">
        <f>+D23+G23+H23</f>
        <v>74.849999999999994</v>
      </c>
      <c r="K23" s="54">
        <f>ROUND((J23-I23)/I23,4)</f>
        <v>0</v>
      </c>
      <c r="P23" s="7">
        <f>$P$21</f>
        <v>0</v>
      </c>
      <c r="Q23" s="6">
        <f>A23*$Q$18</f>
        <v>70.459999999999994</v>
      </c>
      <c r="R23" s="6">
        <f>P23+Q23</f>
        <v>70.459999999999994</v>
      </c>
      <c r="T23" s="7">
        <f>+$T$21</f>
        <v>0</v>
      </c>
      <c r="U23" s="6">
        <f>A23*$U$18</f>
        <v>70.459999999999994</v>
      </c>
      <c r="V23" s="6">
        <f>T23+U23</f>
        <v>70.459999999999994</v>
      </c>
      <c r="Y23" s="6">
        <f>V23-R23</f>
        <v>0</v>
      </c>
      <c r="AA23" s="8">
        <f>V23/R23-1</f>
        <v>0</v>
      </c>
      <c r="AB23" s="8"/>
    </row>
    <row r="24" spans="1:28" x14ac:dyDescent="0.2">
      <c r="A24" s="1"/>
      <c r="C24" s="6"/>
      <c r="D24" s="6"/>
      <c r="E24" s="29"/>
      <c r="F24" s="54"/>
      <c r="G24" s="29"/>
      <c r="H24" s="29"/>
      <c r="I24" s="29"/>
      <c r="J24" s="29"/>
      <c r="K24" s="54"/>
      <c r="P24" s="55"/>
      <c r="Q24" s="6"/>
      <c r="R24" s="6"/>
      <c r="T24" s="7"/>
      <c r="U24" s="6"/>
      <c r="V24" s="6"/>
      <c r="AA24" s="27"/>
      <c r="AB24" s="27"/>
    </row>
    <row r="25" spans="1:28" s="10" customFormat="1" x14ac:dyDescent="0.2">
      <c r="A25" s="1">
        <v>2000</v>
      </c>
      <c r="B25"/>
      <c r="C25" s="6">
        <f>+R25</f>
        <v>140.91999999999999</v>
      </c>
      <c r="D25" s="6">
        <f>+V25</f>
        <v>140.91999999999999</v>
      </c>
      <c r="E25" s="29">
        <f>+D25-C25</f>
        <v>0</v>
      </c>
      <c r="F25" s="54">
        <f>ROUND(+E25/C25,4)</f>
        <v>0</v>
      </c>
      <c r="G25" s="29">
        <f>ROUND($Q$10*$A25,2)</f>
        <v>-1.2</v>
      </c>
      <c r="H25" s="29">
        <f>ROUND($Q$11*$A25,2)</f>
        <v>9.9700000000000006</v>
      </c>
      <c r="I25" s="29">
        <f>+C25+G25+H25</f>
        <v>149.69</v>
      </c>
      <c r="J25" s="29">
        <f>+D25+G25+H25</f>
        <v>149.69</v>
      </c>
      <c r="K25" s="54">
        <f>ROUND((J25-I25)/I25,4)</f>
        <v>0</v>
      </c>
      <c r="P25" s="55">
        <f>$P$21</f>
        <v>0</v>
      </c>
      <c r="Q25" s="6">
        <f>A25*$Q$18</f>
        <v>140.91999999999999</v>
      </c>
      <c r="R25" s="11">
        <f>P25+Q25</f>
        <v>140.91999999999999</v>
      </c>
      <c r="T25" s="7">
        <f>+$T$21</f>
        <v>0</v>
      </c>
      <c r="U25" s="6">
        <f>A25*$U$18</f>
        <v>140.91999999999999</v>
      </c>
      <c r="V25" s="11">
        <f>T25+U25</f>
        <v>140.91999999999999</v>
      </c>
      <c r="Y25" s="11">
        <f>V25-R25</f>
        <v>0</v>
      </c>
      <c r="AA25" s="27">
        <f>V25/R25-1</f>
        <v>0</v>
      </c>
      <c r="AB25" s="27"/>
    </row>
    <row r="26" spans="1:28" x14ac:dyDescent="0.2">
      <c r="A26" s="1"/>
      <c r="P26" s="7"/>
      <c r="Q26" s="6"/>
      <c r="R26" s="6"/>
      <c r="T26" s="7"/>
      <c r="U26" s="6"/>
      <c r="V26" s="6"/>
      <c r="AA26" s="8"/>
      <c r="AB26" s="8"/>
    </row>
    <row r="27" spans="1:28" x14ac:dyDescent="0.2">
      <c r="A27" s="1">
        <v>3000</v>
      </c>
      <c r="C27" s="6">
        <f>+R27</f>
        <v>211.38</v>
      </c>
      <c r="D27" s="6">
        <f>+V27</f>
        <v>211.38</v>
      </c>
      <c r="E27" s="29">
        <f>+D27-C27</f>
        <v>0</v>
      </c>
      <c r="F27" s="54">
        <f>ROUND(+E27/C27,4)</f>
        <v>0</v>
      </c>
      <c r="G27" s="29">
        <f>ROUND($Q$10*$A27,2)</f>
        <v>-1.8</v>
      </c>
      <c r="H27" s="29">
        <f>ROUND($Q$11*$A27,2)</f>
        <v>14.96</v>
      </c>
      <c r="I27" s="29">
        <f>+C27+G27+H27</f>
        <v>224.54</v>
      </c>
      <c r="J27" s="29">
        <f>+D27+G27+H27</f>
        <v>224.54</v>
      </c>
      <c r="K27" s="54">
        <f>ROUND((J27-I27)/I27,4)</f>
        <v>0</v>
      </c>
      <c r="P27" s="7">
        <f>$P$21</f>
        <v>0</v>
      </c>
      <c r="Q27" s="6">
        <f>A27*$Q$18</f>
        <v>211.38</v>
      </c>
      <c r="R27" s="6">
        <f>P27+Q27</f>
        <v>211.38</v>
      </c>
      <c r="T27" s="7">
        <f>+$T$21</f>
        <v>0</v>
      </c>
      <c r="U27" s="6">
        <f>A27*$U$18</f>
        <v>211.38</v>
      </c>
      <c r="V27" s="6">
        <f>T27+U27</f>
        <v>211.38</v>
      </c>
      <c r="Y27" s="6">
        <f>V27-R27</f>
        <v>0</v>
      </c>
      <c r="AA27" s="8">
        <f>V27/R27-1</f>
        <v>0</v>
      </c>
      <c r="AB27" s="8"/>
    </row>
    <row r="28" spans="1:28" x14ac:dyDescent="0.2">
      <c r="P28" s="7"/>
      <c r="Q28" s="6"/>
      <c r="R28" s="6"/>
      <c r="T28" s="7"/>
      <c r="U28" s="6"/>
      <c r="V28" s="6"/>
      <c r="AA28" s="8"/>
      <c r="AB28" s="8"/>
    </row>
    <row r="29" spans="1:28" x14ac:dyDescent="0.2">
      <c r="A29" s="1">
        <v>6000</v>
      </c>
      <c r="C29" s="6">
        <f>+R29</f>
        <v>422.76</v>
      </c>
      <c r="D29" s="6">
        <f>+V29</f>
        <v>422.76</v>
      </c>
      <c r="E29" s="29">
        <f>+D29-C29</f>
        <v>0</v>
      </c>
      <c r="F29" s="54">
        <f>ROUND(+E29/C29,4)</f>
        <v>0</v>
      </c>
      <c r="G29" s="29">
        <f>ROUND($Q$10*$A29,2)</f>
        <v>-3.59</v>
      </c>
      <c r="H29" s="29">
        <f>ROUND($Q$11*$A29,2)</f>
        <v>29.92</v>
      </c>
      <c r="I29" s="29">
        <f>+C29+G29+H29</f>
        <v>449.09000000000003</v>
      </c>
      <c r="J29" s="29">
        <f>+D29+G29+H29</f>
        <v>449.09000000000003</v>
      </c>
      <c r="K29" s="54">
        <f>ROUND((J29-I29)/I29,4)</f>
        <v>0</v>
      </c>
      <c r="P29" s="7">
        <f>$P$21</f>
        <v>0</v>
      </c>
      <c r="Q29" s="6">
        <f>A29*$Q$18</f>
        <v>422.76</v>
      </c>
      <c r="R29" s="6">
        <f>P29+Q29</f>
        <v>422.76</v>
      </c>
      <c r="T29" s="7">
        <f>+$T$21</f>
        <v>0</v>
      </c>
      <c r="U29" s="6">
        <f>A29*$U$18</f>
        <v>422.76</v>
      </c>
      <c r="V29" s="6">
        <f>T29+U29</f>
        <v>422.76</v>
      </c>
      <c r="Y29" s="6">
        <f>V29-R29</f>
        <v>0</v>
      </c>
      <c r="AA29" s="8">
        <f>V29/R29-1</f>
        <v>0</v>
      </c>
      <c r="AB29" s="8"/>
    </row>
    <row r="30" spans="1:28" x14ac:dyDescent="0.2">
      <c r="A30" s="1"/>
      <c r="P30" s="7"/>
      <c r="Q30" s="6"/>
      <c r="R30" s="6"/>
      <c r="T30" s="7"/>
      <c r="U30" s="6"/>
      <c r="V30" s="6"/>
      <c r="AA30" s="8"/>
      <c r="AB30" s="8"/>
    </row>
    <row r="31" spans="1:28" x14ac:dyDescent="0.2">
      <c r="A31" s="1">
        <v>9000</v>
      </c>
      <c r="C31" s="6">
        <f>+R31</f>
        <v>634.14</v>
      </c>
      <c r="D31" s="6">
        <f>+V31</f>
        <v>634.14</v>
      </c>
      <c r="E31" s="29">
        <f>+D31-C31</f>
        <v>0</v>
      </c>
      <c r="F31" s="54">
        <f>ROUND(+E31/C31,4)</f>
        <v>0</v>
      </c>
      <c r="G31" s="29">
        <f>ROUND($Q$10*$A31,2)</f>
        <v>-5.39</v>
      </c>
      <c r="H31" s="29">
        <f>ROUND($Q$11*$A31,2)</f>
        <v>44.89</v>
      </c>
      <c r="I31" s="29">
        <f>+C31+G31+H31</f>
        <v>673.64</v>
      </c>
      <c r="J31" s="29">
        <f>+D31+G31+H31</f>
        <v>673.64</v>
      </c>
      <c r="K31" s="54">
        <f>ROUND((J31-I31)/I31,4)</f>
        <v>0</v>
      </c>
      <c r="P31" s="7">
        <f>$P$21</f>
        <v>0</v>
      </c>
      <c r="Q31" s="6">
        <f>A31*$Q$18</f>
        <v>634.14</v>
      </c>
      <c r="R31" s="6">
        <f>P31+Q31</f>
        <v>634.14</v>
      </c>
      <c r="T31" s="7">
        <f>+$T$21</f>
        <v>0</v>
      </c>
      <c r="U31" s="6">
        <f>A31*$U$18</f>
        <v>634.14</v>
      </c>
      <c r="V31" s="6">
        <f>T31+U31</f>
        <v>634.14</v>
      </c>
      <c r="Y31" s="6">
        <f>V31-R31</f>
        <v>0</v>
      </c>
      <c r="AA31" s="8">
        <f>V31/R31-1</f>
        <v>0</v>
      </c>
      <c r="AB31" s="8"/>
    </row>
    <row r="32" spans="1:28" x14ac:dyDescent="0.2">
      <c r="P32" s="7"/>
      <c r="Q32" s="6"/>
      <c r="R32" s="6"/>
      <c r="T32" s="7"/>
      <c r="U32" s="6"/>
      <c r="V32" s="6"/>
      <c r="AA32" s="8"/>
      <c r="AB32" s="8"/>
    </row>
    <row r="33" spans="1:28" x14ac:dyDescent="0.2">
      <c r="A33" s="1">
        <v>12000</v>
      </c>
      <c r="C33" s="6">
        <f>+R33</f>
        <v>845.52</v>
      </c>
      <c r="D33" s="6">
        <f>+V33</f>
        <v>845.52</v>
      </c>
      <c r="E33" s="29">
        <f>+D33-C33</f>
        <v>0</v>
      </c>
      <c r="F33" s="54">
        <f>ROUND(+E33/C33,4)</f>
        <v>0</v>
      </c>
      <c r="G33" s="29">
        <f>ROUND($Q$10*$A33,2)</f>
        <v>-7.18</v>
      </c>
      <c r="H33" s="29">
        <f>ROUND($Q$11*$A33,2)</f>
        <v>59.85</v>
      </c>
      <c r="I33" s="29">
        <f>+C33+G33+H33</f>
        <v>898.19</v>
      </c>
      <c r="J33" s="29">
        <f>+D33+G33+H33</f>
        <v>898.19</v>
      </c>
      <c r="K33" s="54">
        <f>ROUND((J33-I33)/I33,4)</f>
        <v>0</v>
      </c>
      <c r="P33" s="7">
        <f>$P$21</f>
        <v>0</v>
      </c>
      <c r="Q33" s="6">
        <f>A33*$Q$18</f>
        <v>845.52</v>
      </c>
      <c r="R33" s="6">
        <f>P33+Q33</f>
        <v>845.52</v>
      </c>
      <c r="T33" s="7">
        <f>+$T$21</f>
        <v>0</v>
      </c>
      <c r="U33" s="6">
        <f>A33*$U$18</f>
        <v>845.52</v>
      </c>
      <c r="V33" s="6">
        <f>T33+U33</f>
        <v>845.52</v>
      </c>
      <c r="Y33" s="6">
        <f>V33-R33</f>
        <v>0</v>
      </c>
      <c r="AA33" s="8">
        <f>V33/R33-1</f>
        <v>0</v>
      </c>
      <c r="AB33" s="8"/>
    </row>
    <row r="34" spans="1:28" x14ac:dyDescent="0.2">
      <c r="P34" s="7"/>
      <c r="Q34" s="6"/>
      <c r="R34" s="6"/>
      <c r="T34" s="7"/>
      <c r="U34" s="6"/>
      <c r="V34" s="6"/>
      <c r="AA34" s="8"/>
      <c r="AB34" s="8"/>
    </row>
    <row r="35" spans="1:28" x14ac:dyDescent="0.2">
      <c r="A35" s="1">
        <v>15000</v>
      </c>
      <c r="C35" s="6">
        <f>+R35</f>
        <v>1056.8999999999999</v>
      </c>
      <c r="D35" s="6">
        <f>+V35</f>
        <v>1056.8999999999999</v>
      </c>
      <c r="E35" s="29">
        <f>+D35-C35</f>
        <v>0</v>
      </c>
      <c r="F35" s="54">
        <f>ROUND(+E35/C35,4)</f>
        <v>0</v>
      </c>
      <c r="G35" s="29">
        <f>ROUND($Q$10*$A35,2)</f>
        <v>-8.98</v>
      </c>
      <c r="H35" s="29">
        <f>ROUND($Q$11*$A35,2)</f>
        <v>74.81</v>
      </c>
      <c r="I35" s="29">
        <f>+C35+G35+H35</f>
        <v>1122.7299999999998</v>
      </c>
      <c r="J35" s="29">
        <f>+D35+G35+H35</f>
        <v>1122.7299999999998</v>
      </c>
      <c r="K35" s="54">
        <f>ROUND((J35-I35)/I35,4)</f>
        <v>0</v>
      </c>
      <c r="P35" s="7">
        <f>$P$21</f>
        <v>0</v>
      </c>
      <c r="Q35" s="6">
        <f>A35*$Q$18</f>
        <v>1056.8999999999999</v>
      </c>
      <c r="R35" s="6">
        <f>P35+Q35</f>
        <v>1056.8999999999999</v>
      </c>
      <c r="T35" s="7">
        <f>+$T$21</f>
        <v>0</v>
      </c>
      <c r="U35" s="6">
        <f>A35*$U$18</f>
        <v>1056.8999999999999</v>
      </c>
      <c r="V35" s="6">
        <f>T35+U35</f>
        <v>1056.8999999999999</v>
      </c>
      <c r="Y35" s="6">
        <f>V35-R35</f>
        <v>0</v>
      </c>
      <c r="AA35" s="8">
        <f>V35/R35-1</f>
        <v>0</v>
      </c>
      <c r="AB35" s="8"/>
    </row>
    <row r="37" spans="1:28" x14ac:dyDescent="0.2">
      <c r="A37" s="17" t="s">
        <v>314</v>
      </c>
    </row>
    <row r="38" spans="1:28" s="17" customFormat="1" x14ac:dyDescent="0.2">
      <c r="A38" s="170" t="str">
        <f>("Average usage = "&amp;TEXT(INPUT!O20*1,"0,000")&amp;" kWh per month")</f>
        <v>Average usage = 1,942 kWh per month</v>
      </c>
    </row>
    <row r="39" spans="1:28" s="17" customFormat="1" x14ac:dyDescent="0.2">
      <c r="A39" s="172" t="s">
        <v>315</v>
      </c>
    </row>
    <row r="40" spans="1:28" x14ac:dyDescent="0.2">
      <c r="A40" s="171" t="s">
        <v>319</v>
      </c>
    </row>
    <row r="41" spans="1:28" ht="12" customHeight="1" x14ac:dyDescent="0.2">
      <c r="A41" s="172" t="s">
        <v>334</v>
      </c>
    </row>
    <row r="42" spans="1:28" x14ac:dyDescent="0.2">
      <c r="C42" s="160"/>
      <c r="D42" s="161"/>
      <c r="E42" s="161"/>
      <c r="F42" s="160"/>
      <c r="G42" s="160"/>
      <c r="H42" s="160"/>
      <c r="I42" s="161"/>
      <c r="J42" s="160"/>
      <c r="K42" s="160"/>
      <c r="L42" s="160"/>
      <c r="M42" s="10"/>
      <c r="N42" s="10"/>
      <c r="O42" s="10"/>
    </row>
    <row r="43" spans="1:28" x14ac:dyDescent="0.2">
      <c r="C43" s="153"/>
      <c r="D43" s="153"/>
      <c r="E43" s="153"/>
      <c r="F43" s="153"/>
      <c r="G43" s="153"/>
      <c r="H43" s="153"/>
      <c r="I43" s="153"/>
      <c r="J43" s="160"/>
      <c r="K43" s="160"/>
      <c r="L43" s="153"/>
      <c r="M43" s="10"/>
      <c r="N43" s="10"/>
      <c r="O43" s="10"/>
    </row>
    <row r="44" spans="1:28" x14ac:dyDescent="0.2">
      <c r="C44" s="160"/>
      <c r="D44" s="160"/>
      <c r="E44" s="160"/>
      <c r="F44" s="160"/>
      <c r="G44" s="444"/>
      <c r="H44" s="444"/>
      <c r="I44" s="445"/>
      <c r="J44" s="160"/>
      <c r="K44" s="160"/>
      <c r="L44" s="160"/>
      <c r="M44" s="10"/>
      <c r="N44" s="10"/>
      <c r="O44" s="10"/>
    </row>
    <row r="45" spans="1:28" x14ac:dyDescent="0.2"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0"/>
      <c r="N45" s="10"/>
      <c r="O45" s="10"/>
    </row>
    <row r="46" spans="1:28" x14ac:dyDescent="0.2">
      <c r="C46" s="160"/>
      <c r="D46" s="160"/>
      <c r="E46" s="160"/>
      <c r="F46" s="161"/>
      <c r="G46" s="154"/>
      <c r="H46" s="154"/>
      <c r="I46" s="152"/>
      <c r="J46" s="160"/>
      <c r="K46" s="160"/>
      <c r="L46" s="161"/>
      <c r="M46" s="10"/>
      <c r="N46" s="10"/>
      <c r="O46" s="10"/>
    </row>
    <row r="47" spans="1:28" x14ac:dyDescent="0.2">
      <c r="C47" s="160"/>
      <c r="D47" s="160"/>
      <c r="E47" s="160"/>
      <c r="F47" s="160"/>
      <c r="G47" s="154"/>
      <c r="H47" s="154"/>
      <c r="I47" s="154"/>
      <c r="J47" s="160"/>
      <c r="K47" s="160"/>
      <c r="L47" s="160"/>
      <c r="M47" s="10"/>
      <c r="N47" s="10"/>
      <c r="O47" s="10"/>
    </row>
    <row r="48" spans="1:28" x14ac:dyDescent="0.2">
      <c r="C48" s="169"/>
      <c r="D48" s="169"/>
      <c r="E48" s="160"/>
      <c r="F48" s="160"/>
      <c r="G48" s="169"/>
      <c r="H48" s="169"/>
      <c r="I48" s="169"/>
      <c r="J48" s="160"/>
      <c r="K48" s="169"/>
      <c r="L48" s="160"/>
      <c r="M48" s="10"/>
      <c r="N48" s="10"/>
      <c r="O48" s="10"/>
    </row>
    <row r="49" spans="3:15" x14ac:dyDescent="0.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3:15" x14ac:dyDescent="0.2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3:15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3:15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</sheetData>
  <mergeCells count="6">
    <mergeCell ref="G44:I44"/>
    <mergeCell ref="G15:H15"/>
    <mergeCell ref="A1:K1"/>
    <mergeCell ref="A2:K2"/>
    <mergeCell ref="A3:K3"/>
    <mergeCell ref="A4:K4"/>
  </mergeCells>
  <printOptions horizontalCentered="1"/>
  <pageMargins left="0.75" right="0.75" top="1.5" bottom="0.5" header="1" footer="0.5"/>
  <pageSetup scale="9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41"/>
  <sheetViews>
    <sheetView view="pageBreakPreview" zoomScale="90" zoomScaleNormal="80" zoomScaleSheetLayoutView="90" workbookViewId="0">
      <selection sqref="A1:K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customWidth="1"/>
    <col min="9" max="10" width="10.5703125" bestFit="1" customWidth="1"/>
    <col min="11" max="11" width="9.28515625" bestFit="1" customWidth="1"/>
    <col min="12" max="15" width="3.5703125" customWidth="1"/>
    <col min="16" max="16" width="11.85546875" customWidth="1"/>
    <col min="17" max="17" width="9.85546875" customWidth="1"/>
    <col min="18" max="18" width="9.5703125" customWidth="1"/>
    <col min="19" max="19" width="7.140625" customWidth="1"/>
    <col min="20" max="20" width="11.5703125" customWidth="1"/>
    <col min="21" max="21" width="9.5703125" customWidth="1"/>
    <col min="23" max="24" width="3" customWidth="1"/>
    <col min="26" max="26" width="2.7109375" customWidth="1"/>
  </cols>
  <sheetData>
    <row r="1" spans="1:28" x14ac:dyDescent="0.2">
      <c r="A1" s="429" t="str">
        <f>+'Rate Case Constants'!C9</f>
        <v>LOUISVILLE GAS AND ELECTRIC COMPANY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28" x14ac:dyDescent="0.2">
      <c r="A2" s="429" t="str">
        <f>+'Rate Case Constants'!C10</f>
        <v>CASE NO. 2018-00295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28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1:28" x14ac:dyDescent="0.2">
      <c r="A4" s="429" t="str">
        <f>+'Rate Case Constants'!C21</f>
        <v>FORECAST PERIOD FOR THE 12 MONTHS ENDED APRIL 30, 2020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28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</row>
    <row r="6" spans="1:28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</row>
    <row r="7" spans="1:28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50" t="str">
        <f>+'Rate Case Constants'!C25</f>
        <v>SCHEDULE N</v>
      </c>
    </row>
    <row r="8" spans="1:28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51" t="str">
        <f>+'Rate Case Constants'!L29</f>
        <v>PAGE 22 of 26</v>
      </c>
      <c r="L8" s="151"/>
    </row>
    <row r="9" spans="1:28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51" t="str">
        <f>+'Rate Case Constants'!C36</f>
        <v>WITNESS:   R. M. CONROY</v>
      </c>
    </row>
    <row r="10" spans="1:28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P10" s="30" t="s">
        <v>70</v>
      </c>
      <c r="Q10">
        <f>+INPUT!G65</f>
        <v>-5.814513742396978E-4</v>
      </c>
    </row>
    <row r="11" spans="1:28" x14ac:dyDescent="0.2">
      <c r="A11" s="260" t="s">
        <v>104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71</v>
      </c>
      <c r="Q11" s="30">
        <f>+INPUT!I65</f>
        <v>5.4533561118660237E-3</v>
      </c>
      <c r="R11" s="30"/>
      <c r="S11" s="30"/>
      <c r="T11" s="33"/>
      <c r="U11" s="30"/>
      <c r="V11" s="30"/>
    </row>
    <row r="12" spans="1:28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8" x14ac:dyDescent="0.2">
      <c r="A13" s="30"/>
      <c r="B13" s="30"/>
      <c r="C13" s="164" t="s">
        <v>304</v>
      </c>
      <c r="D13" s="165" t="s">
        <v>305</v>
      </c>
      <c r="E13" s="165" t="s">
        <v>306</v>
      </c>
      <c r="F13" s="164" t="s">
        <v>307</v>
      </c>
      <c r="G13" s="164" t="s">
        <v>308</v>
      </c>
      <c r="H13" s="164" t="s">
        <v>309</v>
      </c>
      <c r="I13" s="165" t="s">
        <v>310</v>
      </c>
      <c r="J13" s="164" t="s">
        <v>311</v>
      </c>
      <c r="K13" s="164" t="s">
        <v>312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8" x14ac:dyDescent="0.2">
      <c r="C14" s="231" t="s">
        <v>339</v>
      </c>
      <c r="D14" s="231" t="s">
        <v>339</v>
      </c>
      <c r="G14" s="30"/>
      <c r="H14" s="30"/>
      <c r="I14" s="3" t="s">
        <v>5</v>
      </c>
      <c r="J14" s="3" t="s">
        <v>5</v>
      </c>
      <c r="P14" s="49" t="s">
        <v>60</v>
      </c>
      <c r="Q14" s="49"/>
      <c r="R14" s="49"/>
      <c r="T14" s="49" t="s">
        <v>61</v>
      </c>
      <c r="U14" s="49"/>
      <c r="V14" s="49"/>
    </row>
    <row r="15" spans="1:28" x14ac:dyDescent="0.2">
      <c r="C15" s="3" t="s">
        <v>1</v>
      </c>
      <c r="D15" s="3" t="s">
        <v>73</v>
      </c>
      <c r="E15" s="3"/>
      <c r="F15" s="3"/>
      <c r="G15" s="440" t="s">
        <v>126</v>
      </c>
      <c r="H15" s="440"/>
      <c r="I15" s="3" t="s">
        <v>1</v>
      </c>
      <c r="J15" s="3" t="s">
        <v>73</v>
      </c>
      <c r="K15" s="3"/>
      <c r="P15" s="26" t="s">
        <v>63</v>
      </c>
      <c r="Q15" s="3"/>
      <c r="R15" s="26"/>
      <c r="T15" s="26" t="s">
        <v>63</v>
      </c>
      <c r="U15" s="3"/>
      <c r="V15" s="26"/>
    </row>
    <row r="16" spans="1:28" x14ac:dyDescent="0.2">
      <c r="A16" s="3"/>
      <c r="B16" s="3"/>
      <c r="C16" s="3" t="s">
        <v>4</v>
      </c>
      <c r="D16" s="3" t="s">
        <v>4</v>
      </c>
      <c r="E16" s="3" t="s">
        <v>74</v>
      </c>
      <c r="F16" s="3" t="s">
        <v>74</v>
      </c>
      <c r="G16" s="164" t="s">
        <v>376</v>
      </c>
      <c r="H16" s="51" t="s">
        <v>71</v>
      </c>
      <c r="I16" s="3" t="s">
        <v>4</v>
      </c>
      <c r="J16" s="3" t="s">
        <v>4</v>
      </c>
      <c r="K16" s="3" t="s">
        <v>74</v>
      </c>
      <c r="L16" s="3"/>
      <c r="M16" s="3"/>
      <c r="N16" s="3"/>
      <c r="O16" s="3"/>
      <c r="P16" s="26" t="s">
        <v>62</v>
      </c>
      <c r="Q16" s="3" t="s">
        <v>57</v>
      </c>
      <c r="R16" s="26" t="s">
        <v>5</v>
      </c>
      <c r="T16" s="26" t="s">
        <v>62</v>
      </c>
      <c r="U16" s="3" t="s">
        <v>57</v>
      </c>
      <c r="V16" s="26" t="s">
        <v>5</v>
      </c>
      <c r="X16" s="2"/>
      <c r="Y16" s="3" t="s">
        <v>6</v>
      </c>
      <c r="Z16" s="3"/>
      <c r="AA16" s="3" t="s">
        <v>8</v>
      </c>
      <c r="AB16" s="3"/>
    </row>
    <row r="17" spans="1:28" x14ac:dyDescent="0.2">
      <c r="A17" s="3" t="s">
        <v>50</v>
      </c>
      <c r="B17" s="3"/>
      <c r="C17" s="3"/>
      <c r="D17" s="3"/>
      <c r="E17" s="3" t="s">
        <v>68</v>
      </c>
      <c r="F17" s="26" t="s">
        <v>69</v>
      </c>
      <c r="G17" s="50"/>
      <c r="H17" s="52"/>
      <c r="I17" s="3" t="s">
        <v>68</v>
      </c>
      <c r="J17" s="3" t="s">
        <v>68</v>
      </c>
      <c r="K17" s="26" t="s">
        <v>69</v>
      </c>
      <c r="L17" s="3"/>
      <c r="M17" s="3"/>
      <c r="N17" s="3"/>
      <c r="O17" s="3"/>
      <c r="P17" s="79" t="s">
        <v>3</v>
      </c>
      <c r="Q17" s="80" t="s">
        <v>3</v>
      </c>
      <c r="R17" s="79" t="s">
        <v>4</v>
      </c>
      <c r="T17" s="79" t="s">
        <v>3</v>
      </c>
      <c r="U17" s="80" t="s">
        <v>3</v>
      </c>
      <c r="V17" s="79" t="s">
        <v>4</v>
      </c>
      <c r="X17" s="2"/>
      <c r="Y17" s="3" t="s">
        <v>7</v>
      </c>
      <c r="Z17" s="3"/>
      <c r="AA17" s="3" t="s">
        <v>7</v>
      </c>
      <c r="AB17" s="3"/>
    </row>
    <row r="18" spans="1:28" x14ac:dyDescent="0.2">
      <c r="A18" s="80"/>
      <c r="B18" s="80"/>
      <c r="C18" s="80"/>
      <c r="D18" s="80"/>
      <c r="E18" s="234" t="str">
        <f>("[ "&amp;D13&amp;" - "&amp;C13&amp;" ]")</f>
        <v>[ B - A ]</v>
      </c>
      <c r="F18" s="234" t="str">
        <f>("[ "&amp;E13&amp;" / "&amp;C13&amp;" ]")</f>
        <v>[ C / A ]</v>
      </c>
      <c r="G18" s="264"/>
      <c r="H18" s="264"/>
      <c r="I18" s="234" t="str">
        <f>("["&amp;C13&amp;"+"&amp;$G$13&amp;"+"&amp;$H$13&amp;"]")</f>
        <v>[A+E+F]</v>
      </c>
      <c r="J18" s="234" t="str">
        <f>("["&amp;D13&amp;"+"&amp;$G$13&amp;"+"&amp;$H$13&amp;"]")</f>
        <v>[B+E+F]</v>
      </c>
      <c r="K18" s="234" t="str">
        <f>("[("&amp;J13&amp;"-"&amp;I13&amp;")/"&amp;I13&amp;"]")</f>
        <v>[(H-G)/G]</v>
      </c>
      <c r="L18" s="3"/>
      <c r="M18" s="3"/>
      <c r="N18" s="3"/>
      <c r="O18" s="3"/>
      <c r="P18" s="26"/>
      <c r="Q18" s="32">
        <f>+INPUT!$P$6</f>
        <v>8.3940000000000001E-2</v>
      </c>
      <c r="R18" s="26"/>
      <c r="T18" s="26"/>
      <c r="U18" s="32">
        <f>INPUT!$P$28</f>
        <v>8.4089999999999998E-2</v>
      </c>
      <c r="V18" s="26"/>
      <c r="X18" s="2"/>
      <c r="Y18" s="3"/>
      <c r="Z18" s="3"/>
      <c r="AA18" s="3"/>
      <c r="AB18" s="3"/>
    </row>
    <row r="19" spans="1:28" x14ac:dyDescent="0.2">
      <c r="A19" s="3"/>
      <c r="B19" s="3"/>
      <c r="C19" s="3"/>
      <c r="D19" s="3"/>
      <c r="E19" s="3"/>
      <c r="F19" s="3"/>
      <c r="G19" s="30"/>
      <c r="H19" s="30"/>
      <c r="I19" s="3"/>
      <c r="J19" s="3"/>
      <c r="K19" s="3"/>
      <c r="L19" s="3"/>
      <c r="M19" s="3"/>
      <c r="N19" s="3"/>
      <c r="O19" s="3"/>
      <c r="P19" s="26"/>
      <c r="Q19" s="3" t="s">
        <v>14</v>
      </c>
      <c r="R19" s="26"/>
      <c r="T19" s="26"/>
      <c r="U19" s="3" t="s">
        <v>14</v>
      </c>
      <c r="V19" s="26"/>
      <c r="X19" s="2"/>
      <c r="Y19" s="3"/>
      <c r="Z19" s="3"/>
      <c r="AA19" s="3"/>
      <c r="AB19" s="3"/>
    </row>
    <row r="20" spans="1:2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U20" s="3"/>
      <c r="V20" s="3"/>
    </row>
    <row r="21" spans="1:28" x14ac:dyDescent="0.2">
      <c r="A21" s="1">
        <v>50</v>
      </c>
      <c r="C21" s="6">
        <f>+R21</f>
        <v>8.1969999999999992</v>
      </c>
      <c r="D21" s="6">
        <f>+V21</f>
        <v>8.1613749999999996</v>
      </c>
      <c r="E21" s="29">
        <f>+D21-C21</f>
        <v>-3.5624999999999574E-2</v>
      </c>
      <c r="F21" s="54">
        <f>ROUND(+E21/C21,4)</f>
        <v>-4.3E-3</v>
      </c>
      <c r="G21" s="29">
        <f>ROUND($Q$10*$A21,2)</f>
        <v>-0.03</v>
      </c>
      <c r="H21" s="29">
        <f>ROUND($Q$11*$A21,2)</f>
        <v>0.27</v>
      </c>
      <c r="I21" s="29">
        <f>+C21+G21+H21</f>
        <v>8.4369999999999994</v>
      </c>
      <c r="J21" s="29">
        <f>+D21+G21+H21</f>
        <v>8.4013749999999998</v>
      </c>
      <c r="K21" s="54">
        <f>ROUND((J21-I21)/I21,4)</f>
        <v>-4.1999999999999997E-3</v>
      </c>
      <c r="P21" s="7">
        <f>+INPUT!$P$4</f>
        <v>4</v>
      </c>
      <c r="Q21" s="6">
        <f>A21*$Q$18</f>
        <v>4.1970000000000001</v>
      </c>
      <c r="R21" s="6">
        <f>P21+Q21</f>
        <v>8.1969999999999992</v>
      </c>
      <c r="T21" s="7">
        <f>INPUT!$P$26</f>
        <v>3.9568750000000001</v>
      </c>
      <c r="U21" s="6">
        <f>A21*$U$18</f>
        <v>4.2044999999999995</v>
      </c>
      <c r="V21" s="6">
        <f>T21+U21</f>
        <v>8.1613749999999996</v>
      </c>
      <c r="Y21" s="6">
        <f>V21-R21</f>
        <v>-3.5624999999999574E-2</v>
      </c>
      <c r="AA21" s="8">
        <f>V21/R21-1</f>
        <v>-4.3461022325240739E-3</v>
      </c>
      <c r="AB21" s="8"/>
    </row>
    <row r="22" spans="1:28" x14ac:dyDescent="0.2">
      <c r="A22" s="1"/>
      <c r="P22" s="7"/>
      <c r="Q22" s="6"/>
      <c r="R22" s="6"/>
      <c r="T22" s="7"/>
      <c r="U22" s="6"/>
      <c r="V22" s="6"/>
      <c r="AA22" s="8"/>
      <c r="AB22" s="8"/>
    </row>
    <row r="23" spans="1:28" x14ac:dyDescent="0.2">
      <c r="A23" s="1">
        <v>100</v>
      </c>
      <c r="C23" s="6">
        <f>+R23</f>
        <v>12.394</v>
      </c>
      <c r="D23" s="6">
        <f>+V23</f>
        <v>12.365874999999999</v>
      </c>
      <c r="E23" s="29">
        <f>+D23-C23</f>
        <v>-2.8125000000001066E-2</v>
      </c>
      <c r="F23" s="54">
        <f>ROUND(+E23/C23,4)</f>
        <v>-2.3E-3</v>
      </c>
      <c r="G23" s="29">
        <f>ROUND($Q$10*$A23,2)</f>
        <v>-0.06</v>
      </c>
      <c r="H23" s="29">
        <f>ROUND($Q$11*$A23,2)</f>
        <v>0.55000000000000004</v>
      </c>
      <c r="I23" s="29">
        <f>+C23+G23+H23</f>
        <v>12.884</v>
      </c>
      <c r="J23" s="29">
        <f>+D23+G23+H23</f>
        <v>12.855874999999999</v>
      </c>
      <c r="K23" s="54">
        <f>ROUND((J23-I23)/I23,4)</f>
        <v>-2.2000000000000001E-3</v>
      </c>
      <c r="P23" s="7">
        <f>$P$21</f>
        <v>4</v>
      </c>
      <c r="Q23" s="6">
        <f>A23*$Q$18</f>
        <v>8.3940000000000001</v>
      </c>
      <c r="R23" s="6">
        <f>P23+Q23</f>
        <v>12.394</v>
      </c>
      <c r="T23" s="7">
        <f>+$T$21</f>
        <v>3.9568750000000001</v>
      </c>
      <c r="U23" s="6">
        <f>A23*$U$18</f>
        <v>8.4089999999999989</v>
      </c>
      <c r="V23" s="6">
        <f>T23+U23</f>
        <v>12.365874999999999</v>
      </c>
      <c r="Y23" s="6">
        <f>V23-R23</f>
        <v>-2.8125000000001066E-2</v>
      </c>
      <c r="AA23" s="8">
        <f>V23/R23-1</f>
        <v>-2.2692431821850212E-3</v>
      </c>
      <c r="AB23" s="8"/>
    </row>
    <row r="24" spans="1:28" x14ac:dyDescent="0.2">
      <c r="A24" s="1"/>
      <c r="C24" s="6"/>
      <c r="D24" s="6"/>
      <c r="E24" s="29"/>
      <c r="F24" s="54"/>
      <c r="G24" s="29"/>
      <c r="H24" s="29"/>
      <c r="I24" s="29"/>
      <c r="J24" s="29"/>
      <c r="K24" s="54"/>
      <c r="P24" s="55"/>
      <c r="Q24" s="6"/>
      <c r="R24" s="6"/>
      <c r="T24" s="7"/>
      <c r="U24" s="6"/>
      <c r="V24" s="6"/>
      <c r="AA24" s="27"/>
      <c r="AB24" s="27"/>
    </row>
    <row r="25" spans="1:28" s="10" customFormat="1" x14ac:dyDescent="0.2">
      <c r="A25" s="1">
        <v>200</v>
      </c>
      <c r="B25"/>
      <c r="C25" s="6">
        <f>+R25</f>
        <v>20.788</v>
      </c>
      <c r="D25" s="6">
        <f>+V25</f>
        <v>20.774874999999998</v>
      </c>
      <c r="E25" s="29">
        <f>+D25-C25</f>
        <v>-1.3125000000002274E-2</v>
      </c>
      <c r="F25" s="54">
        <f>ROUND(+E25/C25,4)</f>
        <v>-5.9999999999999995E-4</v>
      </c>
      <c r="G25" s="29">
        <f>ROUND($Q$10*$A25,2)</f>
        <v>-0.12</v>
      </c>
      <c r="H25" s="29">
        <f>ROUND($Q$11*$A25,2)</f>
        <v>1.0900000000000001</v>
      </c>
      <c r="I25" s="29">
        <f>+C25+G25+H25</f>
        <v>21.757999999999999</v>
      </c>
      <c r="J25" s="29">
        <f>+D25+G25+H25</f>
        <v>21.744874999999997</v>
      </c>
      <c r="K25" s="54">
        <f>ROUND((J25-I25)/I25,4)</f>
        <v>-5.9999999999999995E-4</v>
      </c>
      <c r="P25" s="55">
        <f>$P$21</f>
        <v>4</v>
      </c>
      <c r="Q25" s="6">
        <f>A25*$Q$18</f>
        <v>16.788</v>
      </c>
      <c r="R25" s="11">
        <f>P25+Q25</f>
        <v>20.788</v>
      </c>
      <c r="T25" s="7">
        <f>+$T$21</f>
        <v>3.9568750000000001</v>
      </c>
      <c r="U25" s="6">
        <f>A25*$U$18</f>
        <v>16.817999999999998</v>
      </c>
      <c r="V25" s="11">
        <f>T25+U25</f>
        <v>20.774874999999998</v>
      </c>
      <c r="Y25" s="11">
        <f>V25-R25</f>
        <v>-1.3125000000002274E-2</v>
      </c>
      <c r="AA25" s="27">
        <f>V25/R25-1</f>
        <v>-6.3137386954026375E-4</v>
      </c>
      <c r="AB25" s="27"/>
    </row>
    <row r="26" spans="1:28" x14ac:dyDescent="0.2">
      <c r="A26" s="1"/>
      <c r="P26" s="7"/>
      <c r="Q26" s="6"/>
      <c r="R26" s="6"/>
      <c r="T26" s="7"/>
      <c r="U26" s="6"/>
      <c r="V26" s="6"/>
      <c r="AA26" s="8"/>
      <c r="AB26" s="8"/>
    </row>
    <row r="27" spans="1:28" x14ac:dyDescent="0.2">
      <c r="A27" s="1">
        <v>300</v>
      </c>
      <c r="C27" s="6">
        <f>+R27</f>
        <v>29.181999999999999</v>
      </c>
      <c r="D27" s="6">
        <f>+V27</f>
        <v>29.183875</v>
      </c>
      <c r="E27" s="29">
        <f>+D27-C27</f>
        <v>1.8750000000018474E-3</v>
      </c>
      <c r="F27" s="54">
        <f>ROUND(+E27/C27,4)</f>
        <v>1E-4</v>
      </c>
      <c r="G27" s="29">
        <f>ROUND($Q$10*$A27,2)</f>
        <v>-0.17</v>
      </c>
      <c r="H27" s="29">
        <f>ROUND($Q$11*$A27,2)</f>
        <v>1.64</v>
      </c>
      <c r="I27" s="29">
        <f>+C27+G27+H27</f>
        <v>30.651999999999997</v>
      </c>
      <c r="J27" s="29">
        <f>+D27+G27+H27</f>
        <v>30.653874999999999</v>
      </c>
      <c r="K27" s="54">
        <f>ROUND((J27-I27)/I27,4)</f>
        <v>1E-4</v>
      </c>
      <c r="P27" s="7">
        <f>$P$21</f>
        <v>4</v>
      </c>
      <c r="Q27" s="6">
        <f>A27*$Q$18</f>
        <v>25.181999999999999</v>
      </c>
      <c r="R27" s="6">
        <f>P27+Q27</f>
        <v>29.181999999999999</v>
      </c>
      <c r="T27" s="7">
        <f>+$T$21</f>
        <v>3.9568750000000001</v>
      </c>
      <c r="U27" s="6">
        <f>A27*$U$18</f>
        <v>25.227</v>
      </c>
      <c r="V27" s="6">
        <f>T27+U27</f>
        <v>29.183875</v>
      </c>
      <c r="Y27" s="6">
        <f>V27-R27</f>
        <v>1.8750000000018474E-3</v>
      </c>
      <c r="AA27" s="8">
        <f>V27/R27-1</f>
        <v>6.4251936125137021E-5</v>
      </c>
      <c r="AB27" s="8"/>
    </row>
    <row r="28" spans="1:28" x14ac:dyDescent="0.2">
      <c r="P28" s="7"/>
      <c r="Q28" s="6"/>
      <c r="R28" s="6"/>
      <c r="T28" s="7"/>
      <c r="U28" s="6"/>
      <c r="V28" s="6"/>
      <c r="AA28" s="8"/>
      <c r="AB28" s="8"/>
    </row>
    <row r="29" spans="1:28" x14ac:dyDescent="0.2">
      <c r="A29" s="1">
        <v>400</v>
      </c>
      <c r="C29" s="6">
        <f>+R29</f>
        <v>37.576000000000001</v>
      </c>
      <c r="D29" s="6">
        <f>+V29</f>
        <v>37.592874999999992</v>
      </c>
      <c r="E29" s="29">
        <f>+D29-C29</f>
        <v>1.6874999999991758E-2</v>
      </c>
      <c r="F29" s="54">
        <f>ROUND(+E29/C29,4)</f>
        <v>4.0000000000000002E-4</v>
      </c>
      <c r="G29" s="29">
        <f>ROUND($Q$10*$A29,2)</f>
        <v>-0.23</v>
      </c>
      <c r="H29" s="29">
        <f>ROUND($Q$11*$A29,2)</f>
        <v>2.1800000000000002</v>
      </c>
      <c r="I29" s="29">
        <f>+C29+G29+H29</f>
        <v>39.526000000000003</v>
      </c>
      <c r="J29" s="29">
        <f>+D29+G29+H29</f>
        <v>39.542874999999995</v>
      </c>
      <c r="K29" s="54">
        <f>ROUND((J29-I29)/I29,4)</f>
        <v>4.0000000000000002E-4</v>
      </c>
      <c r="P29" s="7">
        <f>$P$21</f>
        <v>4</v>
      </c>
      <c r="Q29" s="6">
        <f>A29*$Q$18</f>
        <v>33.576000000000001</v>
      </c>
      <c r="R29" s="6">
        <f>P29+Q29</f>
        <v>37.576000000000001</v>
      </c>
      <c r="T29" s="7">
        <f>+$T$21</f>
        <v>3.9568750000000001</v>
      </c>
      <c r="U29" s="6">
        <f>A29*$U$18</f>
        <v>33.635999999999996</v>
      </c>
      <c r="V29" s="6">
        <f>T29+U29</f>
        <v>37.592874999999992</v>
      </c>
      <c r="Y29" s="6">
        <f>V29-R29</f>
        <v>1.6874999999991758E-2</v>
      </c>
      <c r="AA29" s="8">
        <f>V29/R29-1</f>
        <v>4.4908984458147394E-4</v>
      </c>
      <c r="AB29" s="8"/>
    </row>
    <row r="30" spans="1:28" x14ac:dyDescent="0.2">
      <c r="A30" s="1"/>
      <c r="P30" s="7"/>
      <c r="Q30" s="6"/>
      <c r="R30" s="6"/>
      <c r="T30" s="7"/>
      <c r="U30" s="6"/>
      <c r="V30" s="6"/>
      <c r="AA30" s="8"/>
      <c r="AB30" s="8"/>
    </row>
    <row r="31" spans="1:28" x14ac:dyDescent="0.2">
      <c r="A31" s="1">
        <v>500</v>
      </c>
      <c r="C31" s="6">
        <f>+R31</f>
        <v>45.97</v>
      </c>
      <c r="D31" s="6">
        <f>+V31</f>
        <v>46.001874999999998</v>
      </c>
      <c r="E31" s="29">
        <f>+D31-C31</f>
        <v>3.1874999999999432E-2</v>
      </c>
      <c r="F31" s="54">
        <f>ROUND(+E31/C31,4)</f>
        <v>6.9999999999999999E-4</v>
      </c>
      <c r="G31" s="29">
        <f>ROUND($Q$10*$A31,2)</f>
        <v>-0.28999999999999998</v>
      </c>
      <c r="H31" s="29">
        <f>ROUND($Q$11*$A31,2)</f>
        <v>2.73</v>
      </c>
      <c r="I31" s="29">
        <f>+C31+G31+H31</f>
        <v>48.41</v>
      </c>
      <c r="J31" s="29">
        <f>+D31+G31+H31</f>
        <v>48.441874999999996</v>
      </c>
      <c r="K31" s="54">
        <f>ROUND((J31-I31)/I31,4)</f>
        <v>6.9999999999999999E-4</v>
      </c>
      <c r="P31" s="7">
        <f>$P$21</f>
        <v>4</v>
      </c>
      <c r="Q31" s="6">
        <f>A31*$Q$18</f>
        <v>41.97</v>
      </c>
      <c r="R31" s="6">
        <f>P31+Q31</f>
        <v>45.97</v>
      </c>
      <c r="T31" s="7">
        <f>+$T$21</f>
        <v>3.9568750000000001</v>
      </c>
      <c r="U31" s="6">
        <f>A31*$U$18</f>
        <v>42.045000000000002</v>
      </c>
      <c r="V31" s="6">
        <f>T31+U31</f>
        <v>46.001874999999998</v>
      </c>
      <c r="Y31" s="6">
        <f>V31-R31</f>
        <v>3.1874999999999432E-2</v>
      </c>
      <c r="AA31" s="8">
        <f>V31/R31-1</f>
        <v>6.9338699151622052E-4</v>
      </c>
      <c r="AB31" s="8"/>
    </row>
    <row r="32" spans="1:28" x14ac:dyDescent="0.2">
      <c r="P32" s="7"/>
      <c r="Q32" s="6"/>
      <c r="R32" s="6"/>
      <c r="T32" s="7"/>
      <c r="U32" s="6"/>
      <c r="V32" s="6"/>
      <c r="AA32" s="8"/>
      <c r="AB32" s="8"/>
    </row>
    <row r="33" spans="1:28" x14ac:dyDescent="0.2">
      <c r="A33" s="1">
        <v>1000</v>
      </c>
      <c r="C33" s="6">
        <f>+R33</f>
        <v>87.94</v>
      </c>
      <c r="D33" s="6">
        <f>+V33</f>
        <v>88.046875</v>
      </c>
      <c r="E33" s="29">
        <f>+D33-C33</f>
        <v>0.10687500000000227</v>
      </c>
      <c r="F33" s="54">
        <f>ROUND(+E33/C33,4)</f>
        <v>1.1999999999999999E-3</v>
      </c>
      <c r="G33" s="29">
        <f>ROUND($Q$10*$A33,2)</f>
        <v>-0.57999999999999996</v>
      </c>
      <c r="H33" s="29">
        <f>ROUND($Q$11*$A33,2)</f>
        <v>5.45</v>
      </c>
      <c r="I33" s="29">
        <f>+C33+G33+H33</f>
        <v>92.81</v>
      </c>
      <c r="J33" s="29">
        <f>+D33+G33+H33</f>
        <v>92.916875000000005</v>
      </c>
      <c r="K33" s="54">
        <f>ROUND((J33-I33)/I33,4)</f>
        <v>1.1999999999999999E-3</v>
      </c>
      <c r="P33" s="7">
        <f>$P$21</f>
        <v>4</v>
      </c>
      <c r="Q33" s="6">
        <f>A33*$Q$18</f>
        <v>83.94</v>
      </c>
      <c r="R33" s="6">
        <f>P33+Q33</f>
        <v>87.94</v>
      </c>
      <c r="T33" s="7">
        <f>+$T$21</f>
        <v>3.9568750000000001</v>
      </c>
      <c r="U33" s="6">
        <f>A33*$U$18</f>
        <v>84.09</v>
      </c>
      <c r="V33" s="6">
        <f>T33+U33</f>
        <v>88.046875</v>
      </c>
      <c r="Y33" s="6">
        <f>V33-R33</f>
        <v>0.10687500000000227</v>
      </c>
      <c r="AA33" s="8">
        <f>V33/R33-1</f>
        <v>1.2153172617694885E-3</v>
      </c>
      <c r="AB33" s="8"/>
    </row>
    <row r="34" spans="1:28" x14ac:dyDescent="0.2">
      <c r="P34" s="7"/>
      <c r="Q34" s="6"/>
      <c r="R34" s="6"/>
      <c r="T34" s="7"/>
      <c r="U34" s="6"/>
      <c r="V34" s="6"/>
      <c r="AA34" s="8"/>
      <c r="AB34" s="8"/>
    </row>
    <row r="35" spans="1:28" x14ac:dyDescent="0.2">
      <c r="A35" s="1">
        <v>5000</v>
      </c>
      <c r="C35" s="6">
        <f>+R35</f>
        <v>423.7</v>
      </c>
      <c r="D35" s="6">
        <f>+V35</f>
        <v>424.40687500000001</v>
      </c>
      <c r="E35" s="29">
        <f>+D35-C35</f>
        <v>0.70687500000002501</v>
      </c>
      <c r="F35" s="54">
        <f>ROUND(+E35/C35,4)</f>
        <v>1.6999999999999999E-3</v>
      </c>
      <c r="G35" s="29">
        <f>ROUND($Q$10*$A35,2)</f>
        <v>-2.91</v>
      </c>
      <c r="H35" s="29">
        <f>ROUND($Q$11*$A35,2)</f>
        <v>27.27</v>
      </c>
      <c r="I35" s="29">
        <f>+C35+G35+H35</f>
        <v>448.05999999999995</v>
      </c>
      <c r="J35" s="29">
        <f>+D35+G35+H35</f>
        <v>448.76687499999997</v>
      </c>
      <c r="K35" s="54">
        <f>ROUND((J35-I35)/I35,4)</f>
        <v>1.6000000000000001E-3</v>
      </c>
      <c r="P35" s="7">
        <f>$P$21</f>
        <v>4</v>
      </c>
      <c r="Q35" s="6">
        <f>A35*$Q$18</f>
        <v>419.7</v>
      </c>
      <c r="R35" s="6">
        <f>P35+Q35</f>
        <v>423.7</v>
      </c>
      <c r="T35" s="7">
        <f>+$T$21</f>
        <v>3.9568750000000001</v>
      </c>
      <c r="U35" s="6">
        <f>A35*$U$18</f>
        <v>420.45</v>
      </c>
      <c r="V35" s="6">
        <f>T35+U35</f>
        <v>424.40687500000001</v>
      </c>
      <c r="Y35" s="6">
        <f>V35-R35</f>
        <v>0.70687500000002501</v>
      </c>
      <c r="AA35" s="8">
        <f>V35/R35-1</f>
        <v>1.6683384470144169E-3</v>
      </c>
      <c r="AB35" s="8"/>
    </row>
    <row r="37" spans="1:28" x14ac:dyDescent="0.2">
      <c r="A37" s="17" t="s">
        <v>314</v>
      </c>
    </row>
    <row r="38" spans="1:28" s="17" customFormat="1" x14ac:dyDescent="0.2">
      <c r="A38" s="170" t="str">
        <f>("Average usage = "&amp;INPUT!P20&amp;" kWh per month")</f>
        <v>Average usage = 284 kWh per month</v>
      </c>
    </row>
    <row r="39" spans="1:28" s="17" customFormat="1" x14ac:dyDescent="0.2">
      <c r="A39" s="172" t="s">
        <v>315</v>
      </c>
    </row>
    <row r="40" spans="1:28" x14ac:dyDescent="0.2">
      <c r="A40" s="171" t="s">
        <v>319</v>
      </c>
    </row>
    <row r="41" spans="1:28" ht="12" customHeight="1" x14ac:dyDescent="0.2">
      <c r="A41" s="171" t="str">
        <f>+'Rate Case Constants'!C26</f>
        <v>Calculations may vary from other schedules due to rounding</v>
      </c>
    </row>
  </sheetData>
  <mergeCells count="5">
    <mergeCell ref="G15:H15"/>
    <mergeCell ref="A1:K1"/>
    <mergeCell ref="A2:K2"/>
    <mergeCell ref="A3:K3"/>
    <mergeCell ref="A4:K4"/>
  </mergeCells>
  <printOptions horizontalCentered="1"/>
  <pageMargins left="0.75" right="0.75" top="1.5" bottom="0.5" header="1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K170"/>
  <sheetViews>
    <sheetView zoomScale="80" zoomScaleNormal="80" workbookViewId="0"/>
  </sheetViews>
  <sheetFormatPr defaultRowHeight="12.75" x14ac:dyDescent="0.2"/>
  <cols>
    <col min="1" max="1" width="30.5703125" customWidth="1"/>
    <col min="2" max="2" width="18.7109375" customWidth="1"/>
    <col min="3" max="3" width="16.7109375" customWidth="1"/>
    <col min="4" max="5" width="14.42578125" customWidth="1"/>
    <col min="6" max="6" width="16.42578125" customWidth="1"/>
    <col min="7" max="7" width="15.85546875" bestFit="1" customWidth="1"/>
    <col min="8" max="8" width="14.5703125" bestFit="1" customWidth="1"/>
    <col min="9" max="9" width="12.42578125" customWidth="1"/>
    <col min="10" max="11" width="19" bestFit="1" customWidth="1"/>
    <col min="12" max="12" width="15.140625" bestFit="1" customWidth="1"/>
    <col min="13" max="13" width="15.140625" customWidth="1"/>
    <col min="14" max="14" width="17.28515625" bestFit="1" customWidth="1"/>
    <col min="15" max="15" width="11.42578125" customWidth="1"/>
    <col min="16" max="16" width="10" bestFit="1" customWidth="1"/>
    <col min="17" max="17" width="11.5703125" style="5" bestFit="1" customWidth="1"/>
    <col min="18" max="18" width="10" style="5" bestFit="1" customWidth="1"/>
    <col min="19" max="19" width="10" style="5" customWidth="1"/>
    <col min="20" max="20" width="11.5703125" style="233" bestFit="1" customWidth="1"/>
    <col min="21" max="21" width="11.42578125" style="5" customWidth="1"/>
    <col min="22" max="22" width="10.5703125" bestFit="1" customWidth="1"/>
    <col min="28" max="28" width="11.28515625" customWidth="1"/>
    <col min="29" max="29" width="47.85546875" bestFit="1" customWidth="1"/>
    <col min="30" max="31" width="24.140625" bestFit="1" customWidth="1"/>
  </cols>
  <sheetData>
    <row r="1" spans="1:34" x14ac:dyDescent="0.2">
      <c r="A1" s="2" t="s">
        <v>60</v>
      </c>
      <c r="B1" s="26" t="s">
        <v>109</v>
      </c>
      <c r="C1" s="3" t="s">
        <v>78</v>
      </c>
      <c r="D1" s="3" t="s">
        <v>79</v>
      </c>
      <c r="E1" s="3" t="s">
        <v>10</v>
      </c>
      <c r="F1" s="3" t="s">
        <v>10</v>
      </c>
      <c r="G1" s="3" t="s">
        <v>15</v>
      </c>
      <c r="H1" s="3" t="s">
        <v>15</v>
      </c>
      <c r="I1" s="26" t="s">
        <v>29</v>
      </c>
      <c r="J1" s="3" t="s">
        <v>29</v>
      </c>
      <c r="K1" s="3" t="s">
        <v>21</v>
      </c>
      <c r="L1" s="26" t="s">
        <v>64</v>
      </c>
      <c r="M1" s="87" t="s">
        <v>64</v>
      </c>
      <c r="N1" s="87" t="s">
        <v>383</v>
      </c>
      <c r="O1" s="336" t="s">
        <v>102</v>
      </c>
      <c r="P1" s="83" t="s">
        <v>103</v>
      </c>
      <c r="Q1" s="336" t="s">
        <v>384</v>
      </c>
      <c r="R1" s="336" t="s">
        <v>384</v>
      </c>
      <c r="S1" s="336" t="s">
        <v>385</v>
      </c>
      <c r="T1" s="87" t="s">
        <v>539</v>
      </c>
      <c r="U1" s="87" t="s">
        <v>408</v>
      </c>
      <c r="V1" s="413" t="s">
        <v>409</v>
      </c>
      <c r="AE1" s="17"/>
    </row>
    <row r="2" spans="1:34" x14ac:dyDescent="0.2">
      <c r="B2" s="3"/>
      <c r="C2" s="3"/>
      <c r="D2" s="3"/>
      <c r="E2" s="3" t="s">
        <v>35</v>
      </c>
      <c r="F2" s="3" t="s">
        <v>36</v>
      </c>
      <c r="G2" s="3" t="s">
        <v>16</v>
      </c>
      <c r="H2" s="3" t="s">
        <v>17</v>
      </c>
      <c r="I2" s="3" t="s">
        <v>16</v>
      </c>
      <c r="J2" s="3" t="s">
        <v>17</v>
      </c>
      <c r="K2" s="3"/>
      <c r="L2" s="3" t="s">
        <v>65</v>
      </c>
      <c r="M2" s="86" t="s">
        <v>16</v>
      </c>
      <c r="N2" s="336"/>
      <c r="O2" s="336"/>
      <c r="P2" s="17"/>
      <c r="Q2" s="336" t="s">
        <v>17</v>
      </c>
      <c r="R2" s="336" t="s">
        <v>16</v>
      </c>
      <c r="S2" s="336"/>
      <c r="T2" s="336"/>
      <c r="U2" s="413"/>
      <c r="V2" s="413" t="s">
        <v>408</v>
      </c>
      <c r="X2" s="2" t="s">
        <v>201</v>
      </c>
      <c r="Z2" s="2" t="s">
        <v>23</v>
      </c>
      <c r="AC2" s="2" t="s">
        <v>202</v>
      </c>
      <c r="AE2" s="17"/>
    </row>
    <row r="3" spans="1:34" x14ac:dyDescent="0.2">
      <c r="B3" s="3"/>
      <c r="C3" s="3"/>
      <c r="D3" s="3"/>
      <c r="M3" s="17"/>
      <c r="N3" s="17"/>
      <c r="O3" s="17"/>
      <c r="P3" s="17"/>
      <c r="Q3" s="233"/>
      <c r="R3" s="233"/>
      <c r="S3" s="233"/>
      <c r="U3" s="233"/>
      <c r="V3" s="17"/>
      <c r="X3" s="320" t="s">
        <v>203</v>
      </c>
      <c r="Y3">
        <v>201</v>
      </c>
      <c r="Z3" s="401">
        <f t="shared" ref="Z3:Z16" si="0">VLOOKUP(Y3,$AB$9:$AF$161,5,FALSE)</f>
        <v>0.1</v>
      </c>
      <c r="AC3" s="65"/>
      <c r="AD3" s="65"/>
      <c r="AE3" s="317"/>
    </row>
    <row r="4" spans="1:34" ht="16.5" thickBot="1" x14ac:dyDescent="0.25">
      <c r="A4" s="17" t="s">
        <v>11</v>
      </c>
      <c r="B4" s="324">
        <v>12.25</v>
      </c>
      <c r="C4" s="324">
        <f>+$B$4</f>
        <v>12.25</v>
      </c>
      <c r="D4" s="324">
        <f>+$B$4</f>
        <v>12.25</v>
      </c>
      <c r="E4" s="324">
        <v>31.5</v>
      </c>
      <c r="F4" s="324">
        <v>50.4</v>
      </c>
      <c r="G4" s="324">
        <v>240</v>
      </c>
      <c r="H4" s="324">
        <v>90</v>
      </c>
      <c r="I4" s="324">
        <v>330</v>
      </c>
      <c r="J4" s="324">
        <v>200</v>
      </c>
      <c r="K4" s="324">
        <v>1500</v>
      </c>
      <c r="L4" s="324">
        <v>1500</v>
      </c>
      <c r="M4" s="324">
        <v>330</v>
      </c>
      <c r="N4" s="324"/>
      <c r="O4" s="324">
        <v>0</v>
      </c>
      <c r="P4" s="324">
        <v>4</v>
      </c>
      <c r="Q4" s="324">
        <v>90</v>
      </c>
      <c r="R4" s="324">
        <v>240</v>
      </c>
      <c r="S4" s="324"/>
      <c r="T4" s="324">
        <v>7.25</v>
      </c>
      <c r="U4" s="324">
        <v>6.27</v>
      </c>
      <c r="V4" s="324">
        <v>828</v>
      </c>
      <c r="X4" s="320" t="s">
        <v>204</v>
      </c>
      <c r="Y4">
        <v>203</v>
      </c>
      <c r="Z4" s="401">
        <f t="shared" si="0"/>
        <v>0.29799999999999999</v>
      </c>
      <c r="AC4" s="77" t="s">
        <v>95</v>
      </c>
      <c r="AD4" s="65"/>
      <c r="AE4" s="317"/>
    </row>
    <row r="5" spans="1:34" ht="15.75" thickBot="1" x14ac:dyDescent="0.25">
      <c r="A5" s="17"/>
      <c r="B5" s="37"/>
      <c r="C5" s="37"/>
      <c r="D5" s="37"/>
      <c r="E5" s="327"/>
      <c r="F5" s="327"/>
      <c r="G5" s="327"/>
      <c r="H5" s="17"/>
      <c r="I5" s="17"/>
      <c r="J5" s="327"/>
      <c r="K5" s="327"/>
      <c r="L5" s="327"/>
      <c r="M5" s="327"/>
      <c r="N5" s="327"/>
      <c r="O5" s="327"/>
      <c r="P5" s="327"/>
      <c r="Q5" s="329"/>
      <c r="R5" s="329"/>
      <c r="S5" s="329"/>
      <c r="U5" s="233"/>
      <c r="V5" s="17"/>
      <c r="X5" s="320" t="s">
        <v>205</v>
      </c>
      <c r="Y5">
        <v>204</v>
      </c>
      <c r="Z5" s="401">
        <f t="shared" si="0"/>
        <v>0.46200000000000002</v>
      </c>
      <c r="AC5" s="73"/>
      <c r="AD5" s="92" t="s">
        <v>85</v>
      </c>
      <c r="AE5" s="319" t="s">
        <v>85</v>
      </c>
    </row>
    <row r="6" spans="1:34" ht="15.75" thickBot="1" x14ac:dyDescent="0.25">
      <c r="A6" s="17" t="s">
        <v>12</v>
      </c>
      <c r="B6" s="325">
        <v>9.3820000000000001E-2</v>
      </c>
      <c r="D6" s="325">
        <v>5.1830000000000001E-2</v>
      </c>
      <c r="E6" s="325">
        <v>0.10297000000000001</v>
      </c>
      <c r="F6" s="325">
        <v>0.10297000000000001</v>
      </c>
      <c r="G6" s="325">
        <v>3.6089999999999997E-2</v>
      </c>
      <c r="H6" s="325">
        <v>3.7560000000000003E-2</v>
      </c>
      <c r="I6" s="325">
        <v>3.5049999999999998E-2</v>
      </c>
      <c r="J6" s="325">
        <v>3.7339999999999998E-2</v>
      </c>
      <c r="K6" s="325">
        <v>3.3779999999999998E-2</v>
      </c>
      <c r="L6" s="325">
        <v>3.3779999999999998E-2</v>
      </c>
      <c r="M6" s="325">
        <v>3.5049999999999998E-2</v>
      </c>
      <c r="N6" s="325">
        <v>3.56E-2</v>
      </c>
      <c r="O6" s="325">
        <v>7.0459999999999995E-2</v>
      </c>
      <c r="P6" s="325">
        <v>8.3940000000000001E-2</v>
      </c>
      <c r="Q6" s="325">
        <v>3.773E-2</v>
      </c>
      <c r="R6" s="325">
        <v>3.6269999999999997E-2</v>
      </c>
      <c r="S6" s="325">
        <v>2.86</v>
      </c>
      <c r="T6" s="38"/>
      <c r="U6" s="38"/>
      <c r="V6" s="17"/>
      <c r="X6" s="320" t="s">
        <v>206</v>
      </c>
      <c r="Y6">
        <v>206</v>
      </c>
      <c r="Z6" s="401">
        <f t="shared" si="0"/>
        <v>0.1</v>
      </c>
      <c r="AC6" s="67"/>
      <c r="AD6" s="68" t="s">
        <v>1</v>
      </c>
      <c r="AE6" s="318" t="s">
        <v>9</v>
      </c>
      <c r="AF6" s="91" t="s">
        <v>23</v>
      </c>
    </row>
    <row r="7" spans="1:34" ht="15.75" thickBot="1" x14ac:dyDescent="0.25">
      <c r="A7" s="17" t="s">
        <v>32</v>
      </c>
      <c r="B7" s="17"/>
      <c r="C7" s="325">
        <v>0.23483000000000001</v>
      </c>
      <c r="D7" s="17"/>
      <c r="E7" s="17"/>
      <c r="F7" s="17"/>
      <c r="G7" s="17"/>
      <c r="H7" s="17"/>
      <c r="I7" s="327"/>
      <c r="J7" s="327"/>
      <c r="K7" s="327"/>
      <c r="L7" s="327"/>
      <c r="M7" s="327"/>
      <c r="N7" s="327"/>
      <c r="O7" s="327"/>
      <c r="P7" s="93"/>
      <c r="Q7" s="233"/>
      <c r="R7" s="233"/>
      <c r="S7" s="233"/>
      <c r="U7" s="233"/>
      <c r="V7" s="17"/>
      <c r="X7" s="320" t="s">
        <v>207</v>
      </c>
      <c r="Y7">
        <v>207</v>
      </c>
      <c r="Z7" s="401">
        <f t="shared" si="0"/>
        <v>0.46200000000000002</v>
      </c>
      <c r="AC7" s="69" t="s">
        <v>86</v>
      </c>
      <c r="AD7" s="68"/>
      <c r="AE7" s="318"/>
    </row>
    <row r="8" spans="1:34" ht="15.75" thickBot="1" x14ac:dyDescent="0.25">
      <c r="A8" s="88" t="s">
        <v>381</v>
      </c>
      <c r="B8" s="17"/>
      <c r="C8" s="325">
        <v>6.8820000000000006E-2</v>
      </c>
      <c r="D8" s="17"/>
      <c r="E8" s="17"/>
      <c r="F8" s="17"/>
      <c r="G8" s="17"/>
      <c r="H8" s="17"/>
      <c r="I8" s="327"/>
      <c r="J8" s="327"/>
      <c r="K8" s="327"/>
      <c r="L8" s="327"/>
      <c r="M8" s="327"/>
      <c r="N8" s="327"/>
      <c r="O8" s="17"/>
      <c r="P8" s="93"/>
      <c r="Q8" s="233"/>
      <c r="R8" s="233"/>
      <c r="S8" s="233"/>
      <c r="U8" s="233"/>
      <c r="V8" s="17"/>
      <c r="X8" s="320" t="s">
        <v>208</v>
      </c>
      <c r="Y8">
        <v>208</v>
      </c>
      <c r="Z8" s="401">
        <f t="shared" si="0"/>
        <v>0.21</v>
      </c>
      <c r="AC8" s="117" t="s">
        <v>90</v>
      </c>
      <c r="AD8" s="68"/>
      <c r="AE8" s="318"/>
    </row>
    <row r="9" spans="1:34" ht="15.75" thickBot="1" x14ac:dyDescent="0.25">
      <c r="A9" s="17"/>
      <c r="D9" s="17"/>
      <c r="E9" s="17"/>
      <c r="F9" s="17"/>
      <c r="G9" s="17"/>
      <c r="H9" s="17"/>
      <c r="I9" s="327"/>
      <c r="J9" s="327"/>
      <c r="K9" s="327"/>
      <c r="L9" s="327"/>
      <c r="M9" s="327"/>
      <c r="N9" s="327"/>
      <c r="O9" s="17"/>
      <c r="P9" s="93"/>
      <c r="Q9" s="233"/>
      <c r="R9" s="233"/>
      <c r="S9" s="233"/>
      <c r="U9" s="233"/>
      <c r="V9" s="17"/>
      <c r="X9" s="320" t="s">
        <v>209</v>
      </c>
      <c r="Y9">
        <v>209</v>
      </c>
      <c r="Z9" s="401">
        <f t="shared" si="0"/>
        <v>1.18</v>
      </c>
      <c r="AB9">
        <v>452</v>
      </c>
      <c r="AC9" s="118" t="s">
        <v>210</v>
      </c>
      <c r="AD9" s="370">
        <v>14.44</v>
      </c>
      <c r="AE9" s="370">
        <v>14.87</v>
      </c>
      <c r="AF9" s="399">
        <v>0.18099999999999999</v>
      </c>
      <c r="AH9" t="s">
        <v>416</v>
      </c>
    </row>
    <row r="10" spans="1:34" ht="15.75" thickBot="1" x14ac:dyDescent="0.25">
      <c r="A10" s="17"/>
      <c r="B10" s="17"/>
      <c r="C10" s="38"/>
      <c r="D10" s="17"/>
      <c r="E10" s="17"/>
      <c r="F10" s="17"/>
      <c r="G10" s="17"/>
      <c r="H10" s="17"/>
      <c r="I10" s="327"/>
      <c r="J10" s="327"/>
      <c r="K10" s="327"/>
      <c r="L10" s="327"/>
      <c r="M10" s="327"/>
      <c r="N10" s="327"/>
      <c r="O10" s="17"/>
      <c r="P10" s="93"/>
      <c r="Q10" s="233"/>
      <c r="R10" s="233"/>
      <c r="S10" s="233"/>
      <c r="U10" s="233"/>
      <c r="V10" s="17"/>
      <c r="X10" s="320" t="s">
        <v>211</v>
      </c>
      <c r="Y10">
        <v>210</v>
      </c>
      <c r="Z10" s="401">
        <f t="shared" si="0"/>
        <v>1.18</v>
      </c>
      <c r="AB10">
        <v>453</v>
      </c>
      <c r="AC10" s="119" t="s">
        <v>212</v>
      </c>
      <c r="AD10" s="371">
        <v>16.850000000000001</v>
      </c>
      <c r="AE10" s="371">
        <v>17.350000000000001</v>
      </c>
      <c r="AF10" s="399">
        <v>0.29399999999999998</v>
      </c>
      <c r="AH10" t="s">
        <v>416</v>
      </c>
    </row>
    <row r="11" spans="1:34" ht="15.75" thickBot="1" x14ac:dyDescent="0.25">
      <c r="A11" s="17" t="s">
        <v>13</v>
      </c>
      <c r="B11" s="17"/>
      <c r="D11" s="17"/>
      <c r="E11" s="17"/>
      <c r="F11" s="17"/>
      <c r="G11" s="17"/>
      <c r="H11" s="17"/>
      <c r="I11" s="329"/>
      <c r="J11" s="329"/>
      <c r="K11" s="326"/>
      <c r="L11" s="326"/>
      <c r="M11" s="326"/>
      <c r="N11" s="326"/>
      <c r="O11" s="17"/>
      <c r="P11" s="82"/>
      <c r="Q11" s="330"/>
      <c r="R11" s="330"/>
      <c r="S11" s="330"/>
      <c r="T11" s="330"/>
      <c r="U11" s="330"/>
      <c r="V11" s="17"/>
      <c r="X11" s="320" t="s">
        <v>213</v>
      </c>
      <c r="Y11">
        <v>252</v>
      </c>
      <c r="Z11" s="401">
        <f t="shared" si="0"/>
        <v>0.21</v>
      </c>
      <c r="AB11">
        <v>454</v>
      </c>
      <c r="AC11" s="72" t="s">
        <v>131</v>
      </c>
      <c r="AD11" s="371">
        <v>19.2</v>
      </c>
      <c r="AE11" s="371">
        <v>19.77</v>
      </c>
      <c r="AF11" s="399">
        <v>0.47099999999999997</v>
      </c>
      <c r="AH11" t="s">
        <v>416</v>
      </c>
    </row>
    <row r="12" spans="1:34" ht="15.75" thickBot="1" x14ac:dyDescent="0.25">
      <c r="A12" s="81" t="s">
        <v>53</v>
      </c>
      <c r="B12" s="17"/>
      <c r="C12" s="17"/>
      <c r="D12" s="17"/>
      <c r="E12" s="17"/>
      <c r="F12" s="17"/>
      <c r="G12" s="328">
        <v>19.38</v>
      </c>
      <c r="H12" s="328">
        <v>22.04</v>
      </c>
      <c r="I12" s="329"/>
      <c r="J12" s="329"/>
      <c r="K12" s="326"/>
      <c r="L12" s="326"/>
      <c r="M12" s="326"/>
      <c r="N12" s="326"/>
      <c r="O12" s="17"/>
      <c r="P12" s="82"/>
      <c r="Q12" s="330"/>
      <c r="R12" s="330"/>
      <c r="S12" s="330"/>
      <c r="T12" s="330"/>
      <c r="U12" s="330"/>
      <c r="V12" s="17"/>
      <c r="X12" s="320" t="s">
        <v>214</v>
      </c>
      <c r="Y12">
        <v>266</v>
      </c>
      <c r="Z12" s="401">
        <f t="shared" si="0"/>
        <v>0.29399999999999998</v>
      </c>
      <c r="AB12">
        <v>455</v>
      </c>
      <c r="AC12" s="72" t="s">
        <v>132</v>
      </c>
      <c r="AD12" s="371">
        <v>15.39</v>
      </c>
      <c r="AE12" s="371">
        <v>15.85</v>
      </c>
      <c r="AF12" s="399">
        <v>0.18099999999999999</v>
      </c>
      <c r="AH12" t="s">
        <v>416</v>
      </c>
    </row>
    <row r="13" spans="1:34" ht="15.75" thickBot="1" x14ac:dyDescent="0.25">
      <c r="A13" s="81" t="s">
        <v>54</v>
      </c>
      <c r="B13" s="17"/>
      <c r="C13" s="17"/>
      <c r="D13" s="17"/>
      <c r="E13" s="17"/>
      <c r="F13" s="17"/>
      <c r="G13" s="328">
        <v>16.86</v>
      </c>
      <c r="H13" s="328">
        <v>19.39</v>
      </c>
      <c r="I13" s="329"/>
      <c r="J13" s="329"/>
      <c r="K13" s="326"/>
      <c r="L13" s="326"/>
      <c r="M13" s="326"/>
      <c r="N13" s="326"/>
      <c r="O13" s="17"/>
      <c r="P13" s="82"/>
      <c r="Q13" s="330"/>
      <c r="R13" s="330"/>
      <c r="S13" s="330"/>
      <c r="T13" s="330"/>
      <c r="U13" s="330"/>
      <c r="V13" s="17"/>
      <c r="X13" s="320" t="s">
        <v>215</v>
      </c>
      <c r="Y13">
        <v>267</v>
      </c>
      <c r="Z13" s="401">
        <f t="shared" si="0"/>
        <v>0.47099999999999997</v>
      </c>
      <c r="AB13">
        <v>456</v>
      </c>
      <c r="AC13" s="72" t="s">
        <v>133</v>
      </c>
      <c r="AD13" s="371">
        <v>20.03</v>
      </c>
      <c r="AE13" s="371">
        <v>20.62</v>
      </c>
      <c r="AF13" s="399">
        <v>0.47099999999999997</v>
      </c>
      <c r="AH13" t="s">
        <v>416</v>
      </c>
    </row>
    <row r="14" spans="1:34" ht="15.75" thickBot="1" x14ac:dyDescent="0.25">
      <c r="A14" s="17" t="s">
        <v>32</v>
      </c>
      <c r="B14" s="17"/>
      <c r="C14" s="17"/>
      <c r="D14" s="326">
        <v>7.68</v>
      </c>
      <c r="E14" s="17"/>
      <c r="F14" s="17"/>
      <c r="G14" s="17"/>
      <c r="H14" s="17"/>
      <c r="I14" s="324">
        <v>6.96</v>
      </c>
      <c r="J14" s="324">
        <v>7.3</v>
      </c>
      <c r="K14" s="326">
        <v>7</v>
      </c>
      <c r="L14" s="326">
        <v>6.46</v>
      </c>
      <c r="M14" s="326">
        <v>6.39</v>
      </c>
      <c r="N14" s="326"/>
      <c r="O14" s="17"/>
      <c r="P14" s="93"/>
      <c r="Q14" s="344">
        <v>15.57</v>
      </c>
      <c r="R14" s="344">
        <v>14.01</v>
      </c>
      <c r="S14" s="344"/>
      <c r="U14" s="233"/>
      <c r="V14" s="17"/>
      <c r="X14" s="320" t="s">
        <v>216</v>
      </c>
      <c r="Y14">
        <v>274</v>
      </c>
      <c r="Z14" s="401">
        <f t="shared" si="0"/>
        <v>0.11700000000000001</v>
      </c>
      <c r="AB14">
        <v>457</v>
      </c>
      <c r="AC14" s="72" t="s">
        <v>134</v>
      </c>
      <c r="AD14" s="371">
        <v>12.78</v>
      </c>
      <c r="AE14" s="371">
        <v>13.16</v>
      </c>
      <c r="AF14" s="399">
        <v>0.11700000000000001</v>
      </c>
      <c r="AH14" t="s">
        <v>416</v>
      </c>
    </row>
    <row r="15" spans="1:34" ht="15.75" thickBot="1" x14ac:dyDescent="0.25">
      <c r="A15" s="17" t="s">
        <v>31</v>
      </c>
      <c r="B15" s="17"/>
      <c r="C15" s="17"/>
      <c r="D15" s="40"/>
      <c r="E15" s="17"/>
      <c r="F15" s="17"/>
      <c r="G15" s="17"/>
      <c r="H15" s="17"/>
      <c r="I15" s="324">
        <v>5.23</v>
      </c>
      <c r="J15" s="324">
        <v>5.51</v>
      </c>
      <c r="K15" s="326">
        <v>5.25</v>
      </c>
      <c r="L15" s="326">
        <v>4.7300000000000004</v>
      </c>
      <c r="M15" s="326">
        <v>4.67</v>
      </c>
      <c r="N15" s="326"/>
      <c r="O15" s="17"/>
      <c r="P15" s="82"/>
      <c r="Q15" s="344"/>
      <c r="R15" s="344"/>
      <c r="S15" s="344"/>
      <c r="T15" s="330"/>
      <c r="U15" s="330"/>
      <c r="V15" s="17"/>
      <c r="X15" s="320" t="s">
        <v>217</v>
      </c>
      <c r="Y15">
        <v>275</v>
      </c>
      <c r="Z15" s="401">
        <f t="shared" si="0"/>
        <v>0.18099999999999999</v>
      </c>
      <c r="AC15" s="66"/>
      <c r="AD15" s="372"/>
      <c r="AE15" s="372"/>
      <c r="AF15" s="399"/>
    </row>
    <row r="16" spans="1:34" ht="15.75" thickBot="1" x14ac:dyDescent="0.25">
      <c r="A16" s="17" t="s">
        <v>33</v>
      </c>
      <c r="B16" s="17"/>
      <c r="C16" s="17"/>
      <c r="D16" s="326">
        <v>3.51</v>
      </c>
      <c r="E16" s="17"/>
      <c r="F16" s="17"/>
      <c r="G16" s="17"/>
      <c r="H16" s="17"/>
      <c r="I16" s="324">
        <v>3.48</v>
      </c>
      <c r="J16" s="324">
        <v>5.21</v>
      </c>
      <c r="K16" s="326">
        <v>1.86</v>
      </c>
      <c r="L16" s="326">
        <v>1.7</v>
      </c>
      <c r="M16" s="326">
        <v>3.11</v>
      </c>
      <c r="N16" s="326">
        <v>14.23</v>
      </c>
      <c r="O16" s="17"/>
      <c r="P16" s="93"/>
      <c r="Q16" s="344">
        <v>4.8899999999999997</v>
      </c>
      <c r="R16" s="344">
        <v>3.48</v>
      </c>
      <c r="S16" s="344"/>
      <c r="U16" s="233"/>
      <c r="V16" s="17"/>
      <c r="X16" s="320" t="s">
        <v>218</v>
      </c>
      <c r="Y16">
        <v>276</v>
      </c>
      <c r="Z16" s="401">
        <f t="shared" si="0"/>
        <v>8.3000000000000004E-2</v>
      </c>
      <c r="AC16" s="70" t="s">
        <v>88</v>
      </c>
      <c r="AD16" s="373"/>
      <c r="AE16" s="373"/>
      <c r="AF16" s="399"/>
    </row>
    <row r="17" spans="1:32" s="17" customFormat="1" ht="15" x14ac:dyDescent="0.2">
      <c r="A17" s="416" t="s">
        <v>382</v>
      </c>
      <c r="D17" s="326"/>
      <c r="G17" s="328">
        <v>1.44</v>
      </c>
      <c r="H17" s="328">
        <v>1.59</v>
      </c>
      <c r="I17" s="324">
        <v>1.44</v>
      </c>
      <c r="J17" s="324">
        <v>1.59</v>
      </c>
      <c r="K17" s="326"/>
      <c r="L17" s="314"/>
      <c r="M17" s="314"/>
      <c r="N17" s="314"/>
      <c r="P17" s="93"/>
      <c r="Q17" s="344">
        <v>1.59</v>
      </c>
      <c r="R17" s="344">
        <v>1.44</v>
      </c>
      <c r="S17" s="344"/>
      <c r="T17" s="233"/>
      <c r="U17" s="233"/>
      <c r="X17" s="320"/>
      <c r="Z17" s="401"/>
      <c r="AC17" s="417"/>
      <c r="AD17" s="374"/>
      <c r="AE17" s="374"/>
      <c r="AF17" s="399"/>
    </row>
    <row r="18" spans="1:32" ht="15.75" thickBot="1" x14ac:dyDescent="0.25">
      <c r="A18" s="17"/>
      <c r="B18" s="17"/>
      <c r="C18" s="17"/>
      <c r="D18" s="17"/>
      <c r="E18" s="17"/>
      <c r="F18" s="17"/>
      <c r="G18" s="17"/>
      <c r="H18" s="17"/>
      <c r="I18" s="36"/>
      <c r="J18" s="36"/>
      <c r="K18" s="40"/>
      <c r="L18" s="40"/>
      <c r="M18" s="40"/>
      <c r="N18" s="40"/>
      <c r="O18" s="17"/>
      <c r="P18" s="93"/>
      <c r="Q18" s="233"/>
      <c r="R18" s="233"/>
      <c r="S18" s="233"/>
      <c r="U18" s="233"/>
      <c r="V18" s="17"/>
      <c r="X18" s="320" t="s">
        <v>219</v>
      </c>
      <c r="Y18">
        <v>277</v>
      </c>
      <c r="Z18" s="401">
        <f t="shared" ref="Z18:Z64" si="1">VLOOKUP(Y18,$AB$9:$AF$161,5,FALSE)</f>
        <v>0.18099999999999999</v>
      </c>
      <c r="AB18">
        <v>470</v>
      </c>
      <c r="AC18" s="71" t="s">
        <v>135</v>
      </c>
      <c r="AD18" s="370">
        <v>14.5</v>
      </c>
      <c r="AE18" s="370">
        <v>14.93</v>
      </c>
      <c r="AF18" s="399">
        <v>0.15</v>
      </c>
    </row>
    <row r="19" spans="1:32" ht="15.75" thickBot="1" x14ac:dyDescent="0.25">
      <c r="A19" s="128" t="s">
        <v>281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331"/>
      <c r="R19" s="331"/>
      <c r="S19" s="331"/>
      <c r="T19" s="331"/>
      <c r="U19" s="331"/>
      <c r="V19" s="331"/>
      <c r="X19" s="320" t="s">
        <v>220</v>
      </c>
      <c r="Y19">
        <v>278</v>
      </c>
      <c r="Z19" s="401">
        <f t="shared" si="1"/>
        <v>1</v>
      </c>
      <c r="AB19">
        <v>473</v>
      </c>
      <c r="AC19" s="66" t="s">
        <v>136</v>
      </c>
      <c r="AD19" s="375">
        <v>20.65</v>
      </c>
      <c r="AE19" s="375">
        <v>21.26</v>
      </c>
      <c r="AF19" s="399">
        <v>0.35</v>
      </c>
    </row>
    <row r="20" spans="1:32" ht="15.75" thickBot="1" x14ac:dyDescent="0.25">
      <c r="A20" s="128" t="s">
        <v>282</v>
      </c>
      <c r="B20" s="339">
        <v>917</v>
      </c>
      <c r="C20" s="339">
        <v>900.12534856750835</v>
      </c>
      <c r="D20" s="339">
        <v>177.17659132454662</v>
      </c>
      <c r="E20" s="339">
        <v>1064.2861367750584</v>
      </c>
      <c r="F20" s="339">
        <v>4465.0813440499542</v>
      </c>
      <c r="G20" s="339">
        <v>140975</v>
      </c>
      <c r="H20" s="339">
        <v>50066</v>
      </c>
      <c r="I20" s="339">
        <v>1326570</v>
      </c>
      <c r="J20" s="339">
        <v>227989</v>
      </c>
      <c r="K20" s="339">
        <v>6770655</v>
      </c>
      <c r="L20" s="339">
        <v>0</v>
      </c>
      <c r="M20" s="339">
        <v>0</v>
      </c>
      <c r="N20" s="339">
        <v>2374395</v>
      </c>
      <c r="O20" s="339">
        <v>1942</v>
      </c>
      <c r="P20" s="339">
        <v>284</v>
      </c>
      <c r="Q20" s="340">
        <v>2000</v>
      </c>
      <c r="R20" s="340">
        <v>0</v>
      </c>
      <c r="S20" s="340">
        <v>5</v>
      </c>
      <c r="T20" s="343">
        <v>0</v>
      </c>
      <c r="U20" s="343">
        <v>23512</v>
      </c>
      <c r="V20" s="343">
        <v>12</v>
      </c>
      <c r="X20" s="320" t="s">
        <v>221</v>
      </c>
      <c r="Y20">
        <v>279</v>
      </c>
      <c r="Z20" s="401">
        <f t="shared" si="1"/>
        <v>1</v>
      </c>
      <c r="AB20">
        <v>476</v>
      </c>
      <c r="AC20" s="75" t="s">
        <v>137</v>
      </c>
      <c r="AD20" s="376">
        <v>43.23</v>
      </c>
      <c r="AE20" s="376">
        <v>44.51</v>
      </c>
      <c r="AF20" s="399">
        <v>1.08</v>
      </c>
    </row>
    <row r="21" spans="1:32" ht="15.75" thickBo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82"/>
      <c r="Q21" s="330"/>
      <c r="R21" s="330"/>
      <c r="S21" s="330"/>
      <c r="T21" s="330"/>
      <c r="U21" s="330"/>
      <c r="V21" s="17"/>
      <c r="X21" s="320" t="s">
        <v>222</v>
      </c>
      <c r="Y21">
        <v>280</v>
      </c>
      <c r="Z21" s="401">
        <f t="shared" si="1"/>
        <v>8.3000000000000004E-2</v>
      </c>
      <c r="AC21" s="274"/>
      <c r="AD21" s="368"/>
      <c r="AE21" s="368"/>
      <c r="AF21" s="399"/>
    </row>
    <row r="22" spans="1:32" ht="15.75" thickBot="1" x14ac:dyDescent="0.25">
      <c r="I22" s="57"/>
      <c r="O22" s="17"/>
      <c r="P22" s="17"/>
      <c r="Q22" s="233"/>
      <c r="R22" s="233"/>
      <c r="S22" s="233"/>
      <c r="U22" s="233"/>
      <c r="V22" s="17"/>
      <c r="X22" s="320" t="s">
        <v>223</v>
      </c>
      <c r="Y22">
        <v>281</v>
      </c>
      <c r="Z22" s="401">
        <f t="shared" si="1"/>
        <v>0.11700000000000001</v>
      </c>
      <c r="AC22" s="275" t="s">
        <v>353</v>
      </c>
      <c r="AD22" s="368"/>
      <c r="AE22" s="368"/>
      <c r="AF22" s="399"/>
    </row>
    <row r="23" spans="1:32" ht="15.75" thickBot="1" x14ac:dyDescent="0.25">
      <c r="A23" s="2" t="s">
        <v>61</v>
      </c>
      <c r="B23" s="26" t="s">
        <v>109</v>
      </c>
      <c r="C23" s="3" t="s">
        <v>78</v>
      </c>
      <c r="D23" s="3" t="s">
        <v>79</v>
      </c>
      <c r="E23" s="3" t="s">
        <v>10</v>
      </c>
      <c r="F23" s="3" t="s">
        <v>10</v>
      </c>
      <c r="G23" s="3" t="s">
        <v>15</v>
      </c>
      <c r="H23" s="3" t="s">
        <v>15</v>
      </c>
      <c r="I23" s="252" t="s">
        <v>29</v>
      </c>
      <c r="J23" s="3" t="s">
        <v>29</v>
      </c>
      <c r="K23" s="3" t="s">
        <v>21</v>
      </c>
      <c r="L23" s="26" t="s">
        <v>64</v>
      </c>
      <c r="M23" s="87" t="s">
        <v>64</v>
      </c>
      <c r="N23" s="87" t="s">
        <v>383</v>
      </c>
      <c r="O23" s="336" t="s">
        <v>102</v>
      </c>
      <c r="P23" s="83" t="s">
        <v>103</v>
      </c>
      <c r="Q23" s="336" t="s">
        <v>384</v>
      </c>
      <c r="R23" s="336" t="s">
        <v>384</v>
      </c>
      <c r="S23" s="336" t="s">
        <v>385</v>
      </c>
      <c r="T23" s="87" t="s">
        <v>539</v>
      </c>
      <c r="U23" s="87" t="s">
        <v>408</v>
      </c>
      <c r="V23" s="413" t="s">
        <v>409</v>
      </c>
      <c r="X23" s="320" t="s">
        <v>224</v>
      </c>
      <c r="Y23">
        <v>282</v>
      </c>
      <c r="Z23" s="401">
        <f t="shared" si="1"/>
        <v>8.3000000000000004E-2</v>
      </c>
      <c r="AB23">
        <v>490</v>
      </c>
      <c r="AC23" s="274" t="s">
        <v>354</v>
      </c>
      <c r="AD23" s="368">
        <v>16.329999999999998</v>
      </c>
      <c r="AE23" s="368">
        <v>9.6300000000000008</v>
      </c>
      <c r="AF23" s="399">
        <v>7.0999999999999994E-2</v>
      </c>
    </row>
    <row r="24" spans="1:32" ht="15.75" thickBot="1" x14ac:dyDescent="0.25">
      <c r="B24" s="3"/>
      <c r="C24" s="3"/>
      <c r="D24" s="3"/>
      <c r="E24" s="3" t="s">
        <v>35</v>
      </c>
      <c r="F24" s="3" t="s">
        <v>36</v>
      </c>
      <c r="G24" s="3" t="s">
        <v>16</v>
      </c>
      <c r="H24" s="3" t="s">
        <v>17</v>
      </c>
      <c r="I24" s="252" t="s">
        <v>16</v>
      </c>
      <c r="J24" s="3" t="s">
        <v>17</v>
      </c>
      <c r="K24" s="3"/>
      <c r="L24" s="3" t="s">
        <v>65</v>
      </c>
      <c r="M24" s="86" t="s">
        <v>16</v>
      </c>
      <c r="N24" s="336"/>
      <c r="O24" s="336"/>
      <c r="P24" s="17"/>
      <c r="Q24" s="336" t="s">
        <v>17</v>
      </c>
      <c r="R24" s="336" t="s">
        <v>16</v>
      </c>
      <c r="S24" s="336"/>
      <c r="U24" s="233"/>
      <c r="V24" s="413" t="s">
        <v>408</v>
      </c>
      <c r="X24" s="320" t="s">
        <v>225</v>
      </c>
      <c r="Y24">
        <v>283</v>
      </c>
      <c r="Z24" s="401">
        <f t="shared" si="1"/>
        <v>0.11700000000000001</v>
      </c>
      <c r="AB24">
        <v>491</v>
      </c>
      <c r="AC24" s="274" t="s">
        <v>355</v>
      </c>
      <c r="AD24" s="368">
        <v>19.34</v>
      </c>
      <c r="AE24" s="368">
        <v>11.65</v>
      </c>
      <c r="AF24" s="399">
        <v>0.122</v>
      </c>
    </row>
    <row r="25" spans="1:32" ht="15.75" thickBot="1" x14ac:dyDescent="0.25">
      <c r="A25" s="8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33"/>
      <c r="R25" s="233"/>
      <c r="S25" s="233"/>
      <c r="U25" s="233"/>
      <c r="V25" s="17"/>
      <c r="X25" s="320" t="s">
        <v>226</v>
      </c>
      <c r="Y25">
        <v>314</v>
      </c>
      <c r="Z25" s="401">
        <f t="shared" si="1"/>
        <v>0.29799999999999999</v>
      </c>
      <c r="AB25">
        <v>492</v>
      </c>
      <c r="AC25" s="274" t="s">
        <v>356</v>
      </c>
      <c r="AD25" s="368">
        <v>27.49</v>
      </c>
      <c r="AE25" s="368">
        <v>13.65</v>
      </c>
      <c r="AF25" s="399">
        <v>0.19400000000000001</v>
      </c>
    </row>
    <row r="26" spans="1:32" ht="15.75" thickBot="1" x14ac:dyDescent="0.25">
      <c r="A26" s="17" t="s">
        <v>11</v>
      </c>
      <c r="B26" s="324">
        <f>0.53*365.25/12</f>
        <v>16.131875000000001</v>
      </c>
      <c r="C26" s="324">
        <f>0.53*365.25/12</f>
        <v>16.131875000000001</v>
      </c>
      <c r="D26" s="324">
        <f>0.53*365.25/12</f>
        <v>16.131875000000001</v>
      </c>
      <c r="E26" s="324">
        <f>1.04*365.25/12</f>
        <v>31.655000000000001</v>
      </c>
      <c r="F26" s="324">
        <f>1.66*365.25/12</f>
        <v>50.526249999999997</v>
      </c>
      <c r="G26" s="324">
        <f>7.89*365.25/12</f>
        <v>240.15187499999999</v>
      </c>
      <c r="H26" s="324">
        <f>2.96*365.25/12</f>
        <v>90.095000000000013</v>
      </c>
      <c r="I26" s="324">
        <f>10.84*365.25/12</f>
        <v>329.9425</v>
      </c>
      <c r="J26" s="324">
        <f>365.25*6.58/12</f>
        <v>200.27874999999997</v>
      </c>
      <c r="K26" s="324">
        <f>365.25*49.28/12</f>
        <v>1499.96</v>
      </c>
      <c r="L26" s="324">
        <f>365.25*49.28/12</f>
        <v>1499.96</v>
      </c>
      <c r="M26" s="324">
        <f>365.25*10.84/12</f>
        <v>329.9425</v>
      </c>
      <c r="N26" s="312"/>
      <c r="O26" s="324">
        <v>0</v>
      </c>
      <c r="P26" s="324">
        <f>365.25*0.13/12</f>
        <v>3.9568750000000001</v>
      </c>
      <c r="Q26" s="324">
        <f>365.25*2.96/12</f>
        <v>90.095000000000013</v>
      </c>
      <c r="R26" s="324">
        <f>365.25*7.89/12</f>
        <v>240.15187499999999</v>
      </c>
      <c r="S26" s="312"/>
      <c r="T26" s="324">
        <v>7.25</v>
      </c>
      <c r="U26" s="324">
        <v>5.68</v>
      </c>
      <c r="V26" s="324">
        <v>828</v>
      </c>
      <c r="X26" s="320" t="s">
        <v>227</v>
      </c>
      <c r="Y26">
        <v>315</v>
      </c>
      <c r="Z26" s="401">
        <f t="shared" si="1"/>
        <v>0.46200000000000002</v>
      </c>
      <c r="AB26">
        <v>493</v>
      </c>
      <c r="AC26" s="274" t="s">
        <v>357</v>
      </c>
      <c r="AD26" s="368">
        <v>11.53</v>
      </c>
      <c r="AE26" s="368">
        <v>8.74</v>
      </c>
      <c r="AF26" s="399">
        <v>4.8000000000000001E-2</v>
      </c>
    </row>
    <row r="27" spans="1:32" ht="15.75" thickBot="1" x14ac:dyDescent="0.25">
      <c r="A27" s="17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12"/>
      <c r="O27" s="324"/>
      <c r="P27" s="324"/>
      <c r="Q27" s="324"/>
      <c r="R27" s="324"/>
      <c r="S27" s="312"/>
      <c r="T27" s="312"/>
      <c r="U27" s="324"/>
      <c r="V27" s="324"/>
      <c r="X27" s="320" t="s">
        <v>422</v>
      </c>
      <c r="Y27" t="s">
        <v>417</v>
      </c>
      <c r="Z27" s="401">
        <f t="shared" si="1"/>
        <v>2.1999999999999999E-2</v>
      </c>
      <c r="AB27" t="s">
        <v>417</v>
      </c>
      <c r="AC27" s="274" t="s">
        <v>428</v>
      </c>
      <c r="AD27" s="368"/>
      <c r="AE27" s="368">
        <v>8.4</v>
      </c>
      <c r="AF27" s="399">
        <v>2.1999999999999999E-2</v>
      </c>
    </row>
    <row r="28" spans="1:32" ht="15.75" thickBot="1" x14ac:dyDescent="0.25">
      <c r="A28" s="17" t="s">
        <v>12</v>
      </c>
      <c r="B28" s="325">
        <v>9.4200000000000006E-2</v>
      </c>
      <c r="C28" s="313"/>
      <c r="D28" s="325">
        <v>5.1830000000000001E-2</v>
      </c>
      <c r="E28" s="325">
        <v>0.10636999999999999</v>
      </c>
      <c r="F28" s="325">
        <v>0.10636999999999999</v>
      </c>
      <c r="G28" s="325">
        <v>3.2230000000000002E-2</v>
      </c>
      <c r="H28" s="325">
        <v>3.3059999999999999E-2</v>
      </c>
      <c r="I28" s="325">
        <v>3.193E-2</v>
      </c>
      <c r="J28" s="325">
        <v>3.2629999999999999E-2</v>
      </c>
      <c r="K28" s="325">
        <v>3.1519999999999999E-2</v>
      </c>
      <c r="L28" s="325">
        <v>3.1519999999999999E-2</v>
      </c>
      <c r="M28" s="325">
        <v>3.193E-2</v>
      </c>
      <c r="N28" s="325">
        <v>3.175E-2</v>
      </c>
      <c r="O28" s="325">
        <v>7.0459999999999995E-2</v>
      </c>
      <c r="P28" s="325">
        <v>8.4089999999999998E-2</v>
      </c>
      <c r="Q28" s="325">
        <v>3.3059999999999999E-2</v>
      </c>
      <c r="R28" s="325">
        <v>3.6269999999999997E-2</v>
      </c>
      <c r="S28" s="328">
        <v>0.75</v>
      </c>
      <c r="T28" s="38"/>
      <c r="U28" s="233"/>
      <c r="V28" s="17"/>
      <c r="X28" s="320" t="s">
        <v>424</v>
      </c>
      <c r="Y28" t="s">
        <v>418</v>
      </c>
      <c r="Z28" s="401">
        <f t="shared" si="1"/>
        <v>0.03</v>
      </c>
      <c r="AB28" t="s">
        <v>418</v>
      </c>
      <c r="AC28" s="274" t="s">
        <v>429</v>
      </c>
      <c r="AD28" s="368"/>
      <c r="AE28" s="368">
        <v>11.21</v>
      </c>
      <c r="AF28" s="399">
        <v>0.03</v>
      </c>
    </row>
    <row r="29" spans="1:32" ht="15.75" thickBot="1" x14ac:dyDescent="0.25">
      <c r="A29" s="17" t="s">
        <v>32</v>
      </c>
      <c r="B29" s="38"/>
      <c r="C29" s="325">
        <v>0.24058000000000002</v>
      </c>
      <c r="D29" s="38"/>
      <c r="E29" s="38"/>
      <c r="F29" s="38"/>
      <c r="G29" s="38"/>
      <c r="H29" s="38"/>
      <c r="I29" s="38"/>
      <c r="J29" s="38"/>
      <c r="K29" s="38"/>
      <c r="L29" s="17"/>
      <c r="M29" s="17"/>
      <c r="N29" s="17"/>
      <c r="O29" s="17"/>
      <c r="P29" s="17"/>
      <c r="Q29" s="344"/>
      <c r="R29" s="345"/>
      <c r="S29" s="328">
        <v>1</v>
      </c>
      <c r="U29" s="233"/>
      <c r="V29" s="17"/>
      <c r="X29" s="320" t="s">
        <v>425</v>
      </c>
      <c r="Y29" t="s">
        <v>419</v>
      </c>
      <c r="Z29" s="401">
        <f t="shared" si="1"/>
        <v>0.09</v>
      </c>
      <c r="AB29" t="s">
        <v>419</v>
      </c>
      <c r="AC29" s="274" t="s">
        <v>430</v>
      </c>
      <c r="AD29" s="368"/>
      <c r="AE29" s="368">
        <v>13.01</v>
      </c>
      <c r="AF29" s="399">
        <v>0.09</v>
      </c>
    </row>
    <row r="30" spans="1:32" ht="15.75" thickBot="1" x14ac:dyDescent="0.25">
      <c r="A30" s="17" t="s">
        <v>33</v>
      </c>
      <c r="B30" s="38"/>
      <c r="C30" s="325">
        <v>6.8820000000000006E-2</v>
      </c>
      <c r="D30" s="38"/>
      <c r="E30" s="38"/>
      <c r="F30" s="38"/>
      <c r="G30" s="38"/>
      <c r="H30" s="38"/>
      <c r="I30" s="38"/>
      <c r="J30" s="38"/>
      <c r="K30" s="38"/>
      <c r="L30" s="17"/>
      <c r="M30" s="17"/>
      <c r="N30" s="17"/>
      <c r="O30" s="17"/>
      <c r="P30" s="17"/>
      <c r="Q30" s="344"/>
      <c r="R30" s="345"/>
      <c r="S30" s="233"/>
      <c r="T30" s="39"/>
      <c r="U30" s="233"/>
      <c r="V30" s="17"/>
      <c r="X30" s="320" t="s">
        <v>426</v>
      </c>
      <c r="Y30" t="s">
        <v>420</v>
      </c>
      <c r="Z30" s="401">
        <f t="shared" si="1"/>
        <v>0.17499999999999999</v>
      </c>
      <c r="AB30" t="s">
        <v>420</v>
      </c>
      <c r="AC30" s="274" t="s">
        <v>431</v>
      </c>
      <c r="AD30" s="368"/>
      <c r="AE30" s="368">
        <v>15.36</v>
      </c>
      <c r="AF30" s="399">
        <v>0.17499999999999999</v>
      </c>
    </row>
    <row r="31" spans="1:32" ht="15.75" thickBot="1" x14ac:dyDescent="0.25">
      <c r="A31" s="17"/>
      <c r="B31" s="17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93"/>
      <c r="Q31" s="344"/>
      <c r="R31" s="345"/>
      <c r="S31" s="233"/>
      <c r="U31" s="233"/>
      <c r="V31" s="17"/>
      <c r="X31" s="320" t="s">
        <v>427</v>
      </c>
      <c r="Y31" t="s">
        <v>421</v>
      </c>
      <c r="Z31" s="401">
        <f t="shared" si="1"/>
        <v>0.29699999999999999</v>
      </c>
      <c r="AB31" t="s">
        <v>421</v>
      </c>
      <c r="AC31" s="274" t="s">
        <v>432</v>
      </c>
      <c r="AD31" s="368"/>
      <c r="AE31" s="368">
        <v>21.93</v>
      </c>
      <c r="AF31" s="399">
        <v>0.29699999999999999</v>
      </c>
    </row>
    <row r="32" spans="1:32" ht="15.75" thickBot="1" x14ac:dyDescent="0.25">
      <c r="A32" s="17" t="s">
        <v>13</v>
      </c>
      <c r="B32" s="17"/>
      <c r="C32" s="38"/>
      <c r="D32" s="17"/>
      <c r="E32" s="17"/>
      <c r="F32" s="39"/>
      <c r="G32" s="17"/>
      <c r="H32" s="17"/>
      <c r="I32" s="218"/>
      <c r="J32" s="218"/>
      <c r="K32" s="40"/>
      <c r="L32" s="40"/>
      <c r="M32" s="40"/>
      <c r="N32" s="40"/>
      <c r="O32" s="17"/>
      <c r="P32" s="82"/>
      <c r="Q32" s="344"/>
      <c r="R32" s="345"/>
      <c r="S32" s="330"/>
      <c r="T32" s="39"/>
      <c r="U32" s="233"/>
      <c r="V32" s="17"/>
      <c r="X32" s="320" t="s">
        <v>228</v>
      </c>
      <c r="Y32">
        <v>318</v>
      </c>
      <c r="Z32" s="401">
        <f t="shared" si="1"/>
        <v>0.21</v>
      </c>
      <c r="AB32" t="s">
        <v>138</v>
      </c>
      <c r="AC32" s="67"/>
      <c r="AD32" s="373"/>
      <c r="AE32" s="373"/>
      <c r="AF32" s="399"/>
    </row>
    <row r="33" spans="1:34" ht="15.75" thickBot="1" x14ac:dyDescent="0.25">
      <c r="A33" s="81" t="s">
        <v>53</v>
      </c>
      <c r="B33" s="17"/>
      <c r="C33" s="17"/>
      <c r="D33" s="17"/>
      <c r="E33" s="17"/>
      <c r="F33" s="17"/>
      <c r="G33" s="328">
        <v>21.89</v>
      </c>
      <c r="H33" s="328">
        <v>24.799999999999997</v>
      </c>
      <c r="I33" s="218"/>
      <c r="J33" s="218"/>
      <c r="K33" s="40"/>
      <c r="L33" s="40"/>
      <c r="M33" s="40"/>
      <c r="N33" s="40"/>
      <c r="O33" s="17"/>
      <c r="P33" s="82"/>
      <c r="Q33" s="344"/>
      <c r="R33" s="345"/>
      <c r="S33" s="330"/>
      <c r="T33" s="39"/>
      <c r="U33" s="233"/>
      <c r="V33" s="17"/>
      <c r="X33" s="320" t="s">
        <v>229</v>
      </c>
      <c r="Y33">
        <v>348</v>
      </c>
      <c r="Z33" s="401">
        <f t="shared" si="1"/>
        <v>0.44700000000000001</v>
      </c>
      <c r="AC33" s="69" t="s">
        <v>89</v>
      </c>
      <c r="AD33" s="373"/>
      <c r="AE33" s="373"/>
      <c r="AF33" s="399"/>
    </row>
    <row r="34" spans="1:34" ht="15.75" thickBot="1" x14ac:dyDescent="0.25">
      <c r="A34" s="81" t="s">
        <v>54</v>
      </c>
      <c r="B34" s="17"/>
      <c r="C34" s="17"/>
      <c r="D34" s="17"/>
      <c r="E34" s="17"/>
      <c r="F34" s="17"/>
      <c r="G34" s="328">
        <v>19.04</v>
      </c>
      <c r="H34" s="328">
        <v>21.83</v>
      </c>
      <c r="I34" s="218"/>
      <c r="J34" s="218"/>
      <c r="K34" s="40"/>
      <c r="L34" s="40"/>
      <c r="M34" s="40"/>
      <c r="N34" s="40"/>
      <c r="O34" s="17"/>
      <c r="P34" s="82"/>
      <c r="Q34" s="344"/>
      <c r="R34" s="345"/>
      <c r="S34" s="330"/>
      <c r="T34" s="39"/>
      <c r="U34" s="233"/>
      <c r="V34" s="17"/>
      <c r="X34" s="320" t="s">
        <v>230</v>
      </c>
      <c r="Y34">
        <v>349</v>
      </c>
      <c r="Z34" s="401">
        <f t="shared" si="1"/>
        <v>0.10199999999999999</v>
      </c>
      <c r="AC34" s="70" t="s">
        <v>87</v>
      </c>
      <c r="AD34" s="377"/>
      <c r="AE34" s="377"/>
      <c r="AF34" s="399"/>
    </row>
    <row r="35" spans="1:34" ht="15.75" thickBot="1" x14ac:dyDescent="0.25">
      <c r="A35" s="17" t="s">
        <v>32</v>
      </c>
      <c r="B35" s="17"/>
      <c r="C35" s="25"/>
      <c r="D35" s="341">
        <v>7.6201530622096811</v>
      </c>
      <c r="E35" s="17"/>
      <c r="F35" s="17"/>
      <c r="G35" s="17"/>
      <c r="H35" s="17"/>
      <c r="I35" s="324">
        <v>8.2100000000000009</v>
      </c>
      <c r="J35" s="324">
        <v>8.91</v>
      </c>
      <c r="K35" s="326">
        <v>8.01</v>
      </c>
      <c r="L35" s="326">
        <v>7.61</v>
      </c>
      <c r="M35" s="326">
        <v>7.8</v>
      </c>
      <c r="N35" s="314"/>
      <c r="O35" s="17"/>
      <c r="P35" s="93"/>
      <c r="Q35" s="344">
        <v>22.52</v>
      </c>
      <c r="R35" s="344">
        <v>20.260000000000002</v>
      </c>
      <c r="S35" s="233"/>
      <c r="T35" s="39"/>
      <c r="U35" s="233"/>
      <c r="V35" s="17"/>
      <c r="X35" s="320" t="s">
        <v>231</v>
      </c>
      <c r="Y35">
        <v>400</v>
      </c>
      <c r="Z35" s="401">
        <f t="shared" si="1"/>
        <v>0.06</v>
      </c>
      <c r="AB35">
        <v>412</v>
      </c>
      <c r="AC35" s="71" t="s">
        <v>139</v>
      </c>
      <c r="AD35" s="370">
        <v>22.17</v>
      </c>
      <c r="AE35" s="370">
        <v>22.83</v>
      </c>
      <c r="AF35" s="399">
        <v>8.3000000000000004E-2</v>
      </c>
      <c r="AH35" t="s">
        <v>416</v>
      </c>
    </row>
    <row r="36" spans="1:34" ht="15.75" thickBot="1" x14ac:dyDescent="0.25">
      <c r="A36" s="17" t="s">
        <v>31</v>
      </c>
      <c r="B36" s="17"/>
      <c r="C36" s="17"/>
      <c r="D36" s="341"/>
      <c r="E36" s="17"/>
      <c r="F36" s="17"/>
      <c r="G36" s="17"/>
      <c r="H36" s="17"/>
      <c r="I36" s="324">
        <v>6.16</v>
      </c>
      <c r="J36" s="324">
        <v>6.74</v>
      </c>
      <c r="K36" s="326">
        <v>6.01</v>
      </c>
      <c r="L36" s="326">
        <v>5.66</v>
      </c>
      <c r="M36" s="326">
        <v>5.8</v>
      </c>
      <c r="N36" s="314"/>
      <c r="O36" s="17"/>
      <c r="P36" s="82"/>
      <c r="Q36" s="344"/>
      <c r="R36" s="344"/>
      <c r="S36" s="330"/>
      <c r="T36" s="39"/>
      <c r="U36" s="233"/>
      <c r="V36" s="17"/>
      <c r="X36" s="320" t="s">
        <v>232</v>
      </c>
      <c r="Y36">
        <v>401</v>
      </c>
      <c r="Z36" s="401">
        <f t="shared" si="1"/>
        <v>0.11700000000000001</v>
      </c>
      <c r="AB36">
        <v>413</v>
      </c>
      <c r="AC36" s="72" t="s">
        <v>140</v>
      </c>
      <c r="AD36" s="371">
        <v>22.94</v>
      </c>
      <c r="AE36" s="371">
        <v>23.62</v>
      </c>
      <c r="AF36" s="399">
        <v>0.11700000000000001</v>
      </c>
      <c r="AH36" t="s">
        <v>416</v>
      </c>
    </row>
    <row r="37" spans="1:34" ht="15.75" thickBot="1" x14ac:dyDescent="0.25">
      <c r="A37" s="132" t="s">
        <v>80</v>
      </c>
      <c r="B37" s="17"/>
      <c r="C37" s="25"/>
      <c r="D37" s="341">
        <v>3.4826480792130181</v>
      </c>
      <c r="E37" s="17"/>
      <c r="F37" s="17"/>
      <c r="G37" s="17"/>
      <c r="H37" s="17"/>
      <c r="I37" s="324">
        <v>3.46</v>
      </c>
      <c r="J37" s="324">
        <v>3.61</v>
      </c>
      <c r="K37" s="326">
        <v>1.92</v>
      </c>
      <c r="L37" s="326">
        <v>1.8</v>
      </c>
      <c r="M37" s="326">
        <v>3.24</v>
      </c>
      <c r="N37" s="326">
        <v>17.059999999999999</v>
      </c>
      <c r="O37" s="17"/>
      <c r="P37" s="93"/>
      <c r="Q37" s="344">
        <v>4.8899999999999997</v>
      </c>
      <c r="R37" s="344">
        <v>3.46</v>
      </c>
      <c r="S37" s="233"/>
      <c r="T37" s="39"/>
      <c r="U37" s="233"/>
      <c r="V37" s="17"/>
      <c r="X37" s="320" t="s">
        <v>233</v>
      </c>
      <c r="Y37">
        <v>412</v>
      </c>
      <c r="Z37" s="401">
        <f t="shared" si="1"/>
        <v>8.3000000000000004E-2</v>
      </c>
      <c r="AB37">
        <v>444</v>
      </c>
      <c r="AC37" s="72" t="s">
        <v>141</v>
      </c>
      <c r="AD37" s="378">
        <v>22.88</v>
      </c>
      <c r="AE37" s="378">
        <v>23.56</v>
      </c>
      <c r="AF37" s="399">
        <v>0.18099999999999999</v>
      </c>
      <c r="AH37" t="s">
        <v>416</v>
      </c>
    </row>
    <row r="38" spans="1:34" ht="15.75" thickBot="1" x14ac:dyDescent="0.25">
      <c r="A38" s="17" t="s">
        <v>382</v>
      </c>
      <c r="B38" s="17"/>
      <c r="C38" s="17"/>
      <c r="D38" s="17"/>
      <c r="E38" s="17"/>
      <c r="F38" s="17"/>
      <c r="G38" s="342">
        <v>1.41</v>
      </c>
      <c r="H38" s="342">
        <v>1.84</v>
      </c>
      <c r="I38" s="324">
        <v>1.41</v>
      </c>
      <c r="J38" s="324">
        <v>1.84</v>
      </c>
      <c r="K38" s="17"/>
      <c r="L38" s="17"/>
      <c r="M38" s="17"/>
      <c r="N38" s="334"/>
      <c r="O38" s="334"/>
      <c r="P38" s="334"/>
      <c r="Q38" s="345"/>
      <c r="R38" s="345"/>
      <c r="S38" s="330"/>
      <c r="T38" s="39"/>
      <c r="U38" s="233"/>
      <c r="V38" s="17"/>
      <c r="X38" s="320" t="s">
        <v>234</v>
      </c>
      <c r="Y38">
        <v>413</v>
      </c>
      <c r="Z38" s="401">
        <f t="shared" si="1"/>
        <v>0.11700000000000001</v>
      </c>
      <c r="AB38">
        <v>415</v>
      </c>
      <c r="AC38" s="72" t="s">
        <v>142</v>
      </c>
      <c r="AD38" s="371">
        <v>22.57</v>
      </c>
      <c r="AE38" s="371">
        <v>23.24</v>
      </c>
      <c r="AF38" s="399">
        <v>8.3000000000000004E-2</v>
      </c>
      <c r="AH38" t="s">
        <v>416</v>
      </c>
    </row>
    <row r="39" spans="1:34" ht="15.75" thickBot="1" x14ac:dyDescent="0.25">
      <c r="X39" s="320" t="s">
        <v>235</v>
      </c>
      <c r="Y39">
        <v>415</v>
      </c>
      <c r="Z39" s="401">
        <f t="shared" si="1"/>
        <v>8.3000000000000004E-2</v>
      </c>
      <c r="AB39">
        <v>416</v>
      </c>
      <c r="AC39" s="72" t="s">
        <v>143</v>
      </c>
      <c r="AD39" s="371">
        <v>25.06</v>
      </c>
      <c r="AE39" s="371">
        <v>25.8</v>
      </c>
      <c r="AF39" s="399">
        <v>0.11700000000000001</v>
      </c>
      <c r="AH39" t="s">
        <v>416</v>
      </c>
    </row>
    <row r="40" spans="1:34" ht="15.75" thickBot="1" x14ac:dyDescent="0.25">
      <c r="X40" s="320" t="s">
        <v>236</v>
      </c>
      <c r="Y40">
        <v>416</v>
      </c>
      <c r="Z40" s="401">
        <f t="shared" si="1"/>
        <v>0.11700000000000001</v>
      </c>
      <c r="AB40">
        <v>445</v>
      </c>
      <c r="AC40" s="72" t="s">
        <v>144</v>
      </c>
      <c r="AD40" s="371">
        <v>24.87</v>
      </c>
      <c r="AE40" s="371">
        <v>25.61</v>
      </c>
      <c r="AF40" s="399">
        <v>0.18099999999999999</v>
      </c>
      <c r="AH40" t="s">
        <v>416</v>
      </c>
    </row>
    <row r="41" spans="1:34" ht="15.75" thickBot="1" x14ac:dyDescent="0.25">
      <c r="X41" s="320" t="s">
        <v>237</v>
      </c>
      <c r="Y41">
        <v>417</v>
      </c>
      <c r="Z41" s="401">
        <f t="shared" si="1"/>
        <v>0.11700000000000001</v>
      </c>
      <c r="AB41">
        <v>427</v>
      </c>
      <c r="AC41" s="72" t="s">
        <v>145</v>
      </c>
      <c r="AD41" s="371">
        <v>37.96</v>
      </c>
      <c r="AE41" s="371">
        <v>39.090000000000003</v>
      </c>
      <c r="AF41" s="399">
        <v>8.3000000000000004E-2</v>
      </c>
    </row>
    <row r="42" spans="1:34" ht="15.75" thickBot="1" x14ac:dyDescent="0.25">
      <c r="X42" s="320" t="s">
        <v>238</v>
      </c>
      <c r="Y42">
        <v>419</v>
      </c>
      <c r="Z42" s="401">
        <f t="shared" si="1"/>
        <v>0.18</v>
      </c>
      <c r="AB42">
        <v>429</v>
      </c>
      <c r="AC42" s="72" t="s">
        <v>146</v>
      </c>
      <c r="AD42" s="371">
        <v>38</v>
      </c>
      <c r="AE42" s="371">
        <v>39.130000000000003</v>
      </c>
      <c r="AF42" s="399">
        <v>0.11700000000000001</v>
      </c>
    </row>
    <row r="43" spans="1:34" ht="15.75" thickBot="1" x14ac:dyDescent="0.25">
      <c r="X43" s="320" t="s">
        <v>239</v>
      </c>
      <c r="Y43">
        <v>420</v>
      </c>
      <c r="Z43" s="401">
        <f t="shared" si="1"/>
        <v>0.18099999999999999</v>
      </c>
      <c r="AB43">
        <v>431</v>
      </c>
      <c r="AC43" s="72" t="s">
        <v>147</v>
      </c>
      <c r="AD43" s="371">
        <v>35.65</v>
      </c>
      <c r="AE43" s="371">
        <v>36.71</v>
      </c>
      <c r="AF43" s="399">
        <v>8.3000000000000004E-2</v>
      </c>
    </row>
    <row r="44" spans="1:34" ht="15.75" thickBo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82"/>
      <c r="Q44" s="330"/>
      <c r="R44" s="330"/>
      <c r="S44" s="330"/>
      <c r="T44" s="39"/>
      <c r="U44" s="233"/>
      <c r="V44" s="17"/>
      <c r="X44" s="320" t="s">
        <v>240</v>
      </c>
      <c r="Y44">
        <v>421</v>
      </c>
      <c r="Z44" s="401">
        <f t="shared" si="1"/>
        <v>0.29399999999999998</v>
      </c>
      <c r="AB44">
        <v>433</v>
      </c>
      <c r="AC44" s="72" t="s">
        <v>148</v>
      </c>
      <c r="AD44" s="371">
        <v>37.799999999999997</v>
      </c>
      <c r="AE44" s="371">
        <v>38.92</v>
      </c>
      <c r="AF44" s="399">
        <v>0.17699999999999999</v>
      </c>
    </row>
    <row r="45" spans="1:34" ht="15.75" thickBo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33"/>
      <c r="R45" s="233"/>
      <c r="S45" s="233"/>
      <c r="U45" s="233"/>
      <c r="V45" s="17"/>
      <c r="X45" s="320" t="s">
        <v>241</v>
      </c>
      <c r="Y45">
        <v>422</v>
      </c>
      <c r="Z45" s="401">
        <f t="shared" si="1"/>
        <v>0.47099999999999997</v>
      </c>
      <c r="AB45">
        <v>400</v>
      </c>
      <c r="AC45" s="72" t="s">
        <v>149</v>
      </c>
      <c r="AD45" s="371">
        <v>26.56</v>
      </c>
      <c r="AE45" s="371">
        <v>27.35</v>
      </c>
      <c r="AF45" s="399">
        <v>0.06</v>
      </c>
      <c r="AH45" t="s">
        <v>416</v>
      </c>
    </row>
    <row r="46" spans="1:34" ht="15.75" thickBot="1" x14ac:dyDescent="0.25">
      <c r="I46" s="28"/>
      <c r="P46" s="17"/>
      <c r="Q46" s="233"/>
      <c r="R46" s="233"/>
      <c r="S46" s="233"/>
      <c r="U46" s="233"/>
      <c r="V46" s="17"/>
      <c r="X46" s="320" t="s">
        <v>242</v>
      </c>
      <c r="Y46">
        <v>423</v>
      </c>
      <c r="Z46" s="401">
        <f t="shared" si="1"/>
        <v>0.18099999999999999</v>
      </c>
      <c r="AB46">
        <v>401</v>
      </c>
      <c r="AC46" s="72" t="s">
        <v>150</v>
      </c>
      <c r="AD46" s="371">
        <v>26.83</v>
      </c>
      <c r="AE46" s="371">
        <v>27.63</v>
      </c>
      <c r="AF46" s="399">
        <v>0.11700000000000001</v>
      </c>
      <c r="AH46" t="s">
        <v>416</v>
      </c>
    </row>
    <row r="47" spans="1:34" ht="15.75" thickBot="1" x14ac:dyDescent="0.25">
      <c r="O47" s="2" t="s">
        <v>84</v>
      </c>
      <c r="P47" s="48"/>
      <c r="Q47" s="48"/>
      <c r="R47" s="48"/>
      <c r="S47" s="48"/>
      <c r="U47" s="233"/>
      <c r="V47" s="17"/>
      <c r="X47" s="320" t="s">
        <v>243</v>
      </c>
      <c r="Y47">
        <v>424</v>
      </c>
      <c r="Z47" s="401">
        <f t="shared" si="1"/>
        <v>0.29399999999999998</v>
      </c>
      <c r="AB47">
        <v>423</v>
      </c>
      <c r="AC47" s="72" t="s">
        <v>151</v>
      </c>
      <c r="AD47" s="371">
        <v>29.16</v>
      </c>
      <c r="AE47" s="371">
        <v>30.03</v>
      </c>
      <c r="AF47" s="399">
        <v>0.18099999999999999</v>
      </c>
      <c r="AH47" t="s">
        <v>416</v>
      </c>
    </row>
    <row r="48" spans="1:34" ht="15.75" thickBot="1" x14ac:dyDescent="0.25">
      <c r="A48" s="99" t="s">
        <v>375</v>
      </c>
      <c r="J48" s="2" t="s">
        <v>332</v>
      </c>
      <c r="K48" s="2"/>
      <c r="L48" s="2"/>
      <c r="M48" s="2"/>
      <c r="N48" s="2"/>
      <c r="O48" s="3" t="s">
        <v>48</v>
      </c>
      <c r="U48" s="233"/>
      <c r="V48" s="17"/>
      <c r="X48" s="320" t="s">
        <v>244</v>
      </c>
      <c r="Y48">
        <v>425</v>
      </c>
      <c r="Z48" s="401">
        <f t="shared" si="1"/>
        <v>0.47099999999999997</v>
      </c>
      <c r="AB48">
        <v>424</v>
      </c>
      <c r="AC48" s="72" t="s">
        <v>152</v>
      </c>
      <c r="AD48" s="371">
        <v>31.51</v>
      </c>
      <c r="AE48" s="371">
        <v>32.450000000000003</v>
      </c>
      <c r="AF48" s="399">
        <v>0.29399999999999998</v>
      </c>
      <c r="AH48" t="s">
        <v>416</v>
      </c>
    </row>
    <row r="49" spans="1:37" ht="15.75" thickBot="1" x14ac:dyDescent="0.25">
      <c r="B49" s="80" t="s">
        <v>117</v>
      </c>
      <c r="C49" s="80" t="s">
        <v>346</v>
      </c>
      <c r="D49" s="80" t="s">
        <v>115</v>
      </c>
      <c r="E49" s="80" t="s">
        <v>116</v>
      </c>
      <c r="F49" s="80" t="s">
        <v>57</v>
      </c>
      <c r="G49" s="80" t="s">
        <v>347</v>
      </c>
      <c r="H49" s="80" t="s">
        <v>118</v>
      </c>
      <c r="I49" s="80" t="s">
        <v>120</v>
      </c>
      <c r="J49" s="80" t="s">
        <v>119</v>
      </c>
      <c r="K49" s="80" t="s">
        <v>118</v>
      </c>
      <c r="L49" s="80" t="s">
        <v>120</v>
      </c>
      <c r="M49" s="80"/>
      <c r="N49" s="80"/>
      <c r="O49" s="34" t="s">
        <v>49</v>
      </c>
      <c r="P49" s="16"/>
      <c r="Q49" s="332"/>
      <c r="R49" s="332"/>
      <c r="S49" s="332"/>
      <c r="U49" s="233"/>
      <c r="V49" s="17"/>
      <c r="X49" s="320" t="s">
        <v>245</v>
      </c>
      <c r="Y49">
        <v>426</v>
      </c>
      <c r="Z49" s="401">
        <f t="shared" si="1"/>
        <v>8.3000000000000004E-2</v>
      </c>
      <c r="AB49">
        <v>425</v>
      </c>
      <c r="AC49" s="72" t="s">
        <v>153</v>
      </c>
      <c r="AD49" s="371">
        <v>37.39</v>
      </c>
      <c r="AE49" s="371">
        <v>38.5</v>
      </c>
      <c r="AF49" s="399">
        <v>0.47099999999999997</v>
      </c>
      <c r="AH49" t="s">
        <v>416</v>
      </c>
    </row>
    <row r="50" spans="1:37" ht="15.75" thickBot="1" x14ac:dyDescent="0.25">
      <c r="B50" s="3"/>
      <c r="C50" s="3"/>
      <c r="D50" s="3"/>
      <c r="E50" s="3"/>
      <c r="F50" s="3" t="s">
        <v>0</v>
      </c>
      <c r="G50" s="3"/>
      <c r="H50" s="3"/>
      <c r="I50" s="3"/>
      <c r="U50" s="233"/>
      <c r="V50" s="17"/>
      <c r="X50" s="320" t="s">
        <v>246</v>
      </c>
      <c r="Y50">
        <v>427</v>
      </c>
      <c r="Z50" s="401">
        <f t="shared" si="1"/>
        <v>8.3000000000000004E-2</v>
      </c>
      <c r="AB50">
        <v>439</v>
      </c>
      <c r="AC50" s="72" t="s">
        <v>154</v>
      </c>
      <c r="AD50" s="371">
        <v>18.079999999999998</v>
      </c>
      <c r="AE50" s="371">
        <v>18.62</v>
      </c>
      <c r="AF50" s="399">
        <v>0.18099999999999999</v>
      </c>
      <c r="AH50" t="s">
        <v>416</v>
      </c>
    </row>
    <row r="51" spans="1:37" ht="15.75" thickBot="1" x14ac:dyDescent="0.25">
      <c r="B51" s="41"/>
      <c r="D51" s="100"/>
      <c r="O51" t="s">
        <v>37</v>
      </c>
      <c r="P51" s="316">
        <v>407</v>
      </c>
      <c r="Q51" s="333"/>
      <c r="R51" s="333"/>
      <c r="S51" s="333"/>
      <c r="U51" s="233"/>
      <c r="V51" s="17"/>
      <c r="X51" s="320" t="s">
        <v>247</v>
      </c>
      <c r="Y51">
        <v>428</v>
      </c>
      <c r="Z51" s="401">
        <f t="shared" si="1"/>
        <v>0.11700000000000001</v>
      </c>
      <c r="AB51">
        <v>420</v>
      </c>
      <c r="AC51" s="72" t="s">
        <v>155</v>
      </c>
      <c r="AD51" s="371">
        <v>32.86</v>
      </c>
      <c r="AE51" s="371">
        <v>33.840000000000003</v>
      </c>
      <c r="AF51" s="399">
        <v>0.18099999999999999</v>
      </c>
      <c r="AH51" t="s">
        <v>416</v>
      </c>
    </row>
    <row r="52" spans="1:37" ht="15.75" thickBot="1" x14ac:dyDescent="0.25">
      <c r="B52" s="216"/>
      <c r="C52" s="100"/>
      <c r="D52" s="100"/>
      <c r="E52" s="100"/>
      <c r="F52" s="217"/>
      <c r="O52" t="s">
        <v>38</v>
      </c>
      <c r="P52" s="316">
        <v>344</v>
      </c>
      <c r="Q52" s="333"/>
      <c r="R52" s="333"/>
      <c r="S52" s="333"/>
      <c r="U52" s="233"/>
      <c r="V52" s="17"/>
      <c r="X52" s="320" t="s">
        <v>248</v>
      </c>
      <c r="Y52">
        <v>429</v>
      </c>
      <c r="Z52" s="401">
        <f t="shared" si="1"/>
        <v>0.11700000000000001</v>
      </c>
      <c r="AB52">
        <v>440</v>
      </c>
      <c r="AC52" s="72" t="s">
        <v>156</v>
      </c>
      <c r="AD52" s="371">
        <v>20.05</v>
      </c>
      <c r="AE52" s="371">
        <v>20.65</v>
      </c>
      <c r="AF52" s="399">
        <v>0.29399999999999998</v>
      </c>
      <c r="AH52" t="s">
        <v>416</v>
      </c>
    </row>
    <row r="53" spans="1:37" ht="15.75" thickBot="1" x14ac:dyDescent="0.25">
      <c r="A53" s="46" t="s">
        <v>330</v>
      </c>
      <c r="B53" s="348">
        <v>459793602.95000005</v>
      </c>
      <c r="C53" s="347">
        <f>-1806599.63-353125</f>
        <v>-2159724.63</v>
      </c>
      <c r="D53" s="348">
        <v>7383422.3600000003</v>
      </c>
      <c r="E53" s="347">
        <v>17616406.559999999</v>
      </c>
      <c r="F53" s="352">
        <v>4076917526.6607103</v>
      </c>
      <c r="G53" s="112">
        <f>+C53/$F53</f>
        <v>-5.2974449835608282E-4</v>
      </c>
      <c r="H53" s="112">
        <f>+D53/$F53</f>
        <v>1.8110305915478148E-3</v>
      </c>
      <c r="I53" s="112">
        <f>+E53/$F53</f>
        <v>4.3210112652019008E-3</v>
      </c>
      <c r="J53" s="8"/>
      <c r="O53" t="s">
        <v>39</v>
      </c>
      <c r="P53" s="316">
        <v>347</v>
      </c>
      <c r="Q53" s="333"/>
      <c r="R53" s="333"/>
      <c r="S53" s="333"/>
      <c r="U53" s="233"/>
      <c r="V53" s="17"/>
      <c r="X53" s="320" t="s">
        <v>249</v>
      </c>
      <c r="Y53">
        <v>430</v>
      </c>
      <c r="Z53" s="401">
        <f t="shared" si="1"/>
        <v>8.3000000000000004E-2</v>
      </c>
      <c r="AB53">
        <v>421</v>
      </c>
      <c r="AC53" s="72" t="s">
        <v>157</v>
      </c>
      <c r="AD53" s="371">
        <v>35.479999999999997</v>
      </c>
      <c r="AE53" s="371">
        <v>36.53</v>
      </c>
      <c r="AF53" s="399">
        <v>0.29399999999999998</v>
      </c>
      <c r="AH53" t="s">
        <v>416</v>
      </c>
    </row>
    <row r="54" spans="1:37" ht="15.75" thickBot="1" x14ac:dyDescent="0.25">
      <c r="A54" s="30" t="s">
        <v>410</v>
      </c>
      <c r="B54" s="348">
        <v>94530.85</v>
      </c>
      <c r="C54" s="347">
        <f>-430-83</f>
        <v>-513</v>
      </c>
      <c r="D54" s="348">
        <v>1375.99</v>
      </c>
      <c r="E54" s="347">
        <v>3335.16</v>
      </c>
      <c r="F54" s="352">
        <v>950180.31098479242</v>
      </c>
      <c r="G54" s="112">
        <f t="shared" ref="G54" si="2">+C54/$F54</f>
        <v>-5.3989752688972576E-4</v>
      </c>
      <c r="H54" s="112">
        <f t="shared" ref="H54" si="3">+D54/$F54</f>
        <v>1.4481356686647053E-3</v>
      </c>
      <c r="I54" s="112">
        <f t="shared" ref="I54" si="4">+E54/$F54</f>
        <v>3.5100285297885729E-3</v>
      </c>
      <c r="J54" s="112">
        <f>(C54+C53)/($F$54+$F$53)</f>
        <v>-5.297468641041901E-4</v>
      </c>
      <c r="K54" s="112">
        <f>(D54+D53)/($F$54+$F$53)</f>
        <v>1.8109460337260666E-3</v>
      </c>
      <c r="L54" s="112">
        <f>(E54+E53)/($F$54+$F$53)</f>
        <v>4.3208222988393033E-3</v>
      </c>
      <c r="M54" s="219">
        <f>(E54+E53)/(B54+B53)</f>
        <v>3.8313103611546141E-2</v>
      </c>
      <c r="O54" t="s">
        <v>40</v>
      </c>
      <c r="P54" s="316">
        <v>301</v>
      </c>
      <c r="Q54" s="333"/>
      <c r="R54" s="333"/>
      <c r="S54" s="333"/>
      <c r="U54" s="233"/>
      <c r="V54" s="17"/>
      <c r="X54" s="320" t="s">
        <v>250</v>
      </c>
      <c r="Y54">
        <v>431</v>
      </c>
      <c r="Z54" s="401">
        <f t="shared" si="1"/>
        <v>8.3000000000000004E-2</v>
      </c>
      <c r="AB54">
        <v>441</v>
      </c>
      <c r="AC54" s="72" t="s">
        <v>158</v>
      </c>
      <c r="AD54" s="371">
        <v>24.14</v>
      </c>
      <c r="AE54" s="371">
        <v>24.86</v>
      </c>
      <c r="AF54" s="399">
        <v>0.47099999999999997</v>
      </c>
      <c r="AH54" t="s">
        <v>416</v>
      </c>
    </row>
    <row r="55" spans="1:37" ht="15.75" thickBot="1" x14ac:dyDescent="0.25">
      <c r="A55" s="58" t="s">
        <v>76</v>
      </c>
      <c r="B55" s="348">
        <v>52566966</v>
      </c>
      <c r="C55" s="347">
        <f>-173139.39-31984.87</f>
        <v>-205124.26</v>
      </c>
      <c r="D55" s="348">
        <v>53587.41</v>
      </c>
      <c r="E55" s="347">
        <v>3726313.89</v>
      </c>
      <c r="F55" s="351">
        <v>369613803.87</v>
      </c>
      <c r="G55" s="112">
        <f t="shared" ref="G55:G61" si="5">+C55/$F55</f>
        <v>-5.549691538905457E-4</v>
      </c>
      <c r="H55" s="112">
        <f t="shared" ref="H55:H61" si="6">+D55/$F55</f>
        <v>1.4498216635558256E-4</v>
      </c>
      <c r="I55" s="112">
        <f t="shared" ref="I55:I61" si="7">+E55/$F55</f>
        <v>1.0081641570157953E-2</v>
      </c>
      <c r="J55" s="8"/>
      <c r="O55" t="s">
        <v>41</v>
      </c>
      <c r="P55" s="316">
        <v>281</v>
      </c>
      <c r="Q55" s="333"/>
      <c r="R55" s="333"/>
      <c r="S55" s="333"/>
      <c r="X55" s="320" t="s">
        <v>251</v>
      </c>
      <c r="Y55">
        <v>432</v>
      </c>
      <c r="Z55" s="401">
        <f t="shared" si="1"/>
        <v>0.11700000000000001</v>
      </c>
      <c r="AB55">
        <v>422</v>
      </c>
      <c r="AC55" s="72" t="s">
        <v>159</v>
      </c>
      <c r="AD55" s="371">
        <v>41.19</v>
      </c>
      <c r="AE55" s="371">
        <v>42.41</v>
      </c>
      <c r="AF55" s="399">
        <v>0.47099999999999997</v>
      </c>
      <c r="AH55" t="s">
        <v>416</v>
      </c>
    </row>
    <row r="56" spans="1:37" ht="15.75" thickBot="1" x14ac:dyDescent="0.25">
      <c r="A56" s="58" t="s">
        <v>77</v>
      </c>
      <c r="B56" s="348">
        <v>113175642</v>
      </c>
      <c r="C56" s="347">
        <f>-430937.13-76758.4</f>
        <v>-507695.53</v>
      </c>
      <c r="D56" s="348">
        <v>128239.89</v>
      </c>
      <c r="E56" s="347">
        <v>9542264.8200000003</v>
      </c>
      <c r="F56" s="351">
        <v>910336319.34000003</v>
      </c>
      <c r="G56" s="112">
        <f t="shared" si="5"/>
        <v>-5.5770105972272174E-4</v>
      </c>
      <c r="H56" s="112">
        <f t="shared" si="6"/>
        <v>1.4087089274101991E-4</v>
      </c>
      <c r="I56" s="112">
        <f t="shared" si="7"/>
        <v>1.0482131292881083E-2</v>
      </c>
      <c r="J56" s="112">
        <f>(C56+C55)/($F$56+$F$55)</f>
        <v>-5.5691216171167043E-4</v>
      </c>
      <c r="K56" s="112">
        <f>(D56+D55)/($F$56+$F$55)</f>
        <v>1.4205811359585907E-4</v>
      </c>
      <c r="L56" s="112">
        <f>(E56+E55)/($F$56+$F$55)</f>
        <v>1.0366481059999117E-2</v>
      </c>
      <c r="M56" s="219">
        <f>(E56+E55)/(B56+B55)</f>
        <v>8.0055327173324073E-2</v>
      </c>
      <c r="N56" s="112"/>
      <c r="O56" t="s">
        <v>42</v>
      </c>
      <c r="P56" s="316">
        <v>257</v>
      </c>
      <c r="Q56" s="333"/>
      <c r="R56" s="333"/>
      <c r="S56" s="333"/>
      <c r="X56" s="320" t="s">
        <v>252</v>
      </c>
      <c r="Y56">
        <v>433</v>
      </c>
      <c r="Z56" s="401">
        <f t="shared" si="1"/>
        <v>0.17699999999999999</v>
      </c>
      <c r="AB56" t="s">
        <v>138</v>
      </c>
      <c r="AC56" s="120"/>
      <c r="AD56" s="372"/>
      <c r="AE56" s="372"/>
      <c r="AF56" s="399"/>
    </row>
    <row r="57" spans="1:37" ht="15.75" thickBot="1" x14ac:dyDescent="0.25">
      <c r="A57" s="98" t="s">
        <v>110</v>
      </c>
      <c r="B57" s="348">
        <v>168770871.20000002</v>
      </c>
      <c r="C57" s="347">
        <f>-835493-148802</f>
        <v>-984295</v>
      </c>
      <c r="D57" s="348">
        <v>37632</v>
      </c>
      <c r="E57" s="347">
        <v>3343021</v>
      </c>
      <c r="F57" s="351">
        <v>1738678536.3412652</v>
      </c>
      <c r="G57" s="112">
        <f t="shared" si="5"/>
        <v>-5.6611672567792256E-4</v>
      </c>
      <c r="H57" s="112">
        <f t="shared" si="6"/>
        <v>2.1644024017912904E-5</v>
      </c>
      <c r="I57" s="112">
        <f t="shared" si="7"/>
        <v>1.9227366819830787E-3</v>
      </c>
      <c r="J57" s="8"/>
      <c r="M57" s="219"/>
      <c r="N57" s="219"/>
      <c r="O57" t="s">
        <v>43</v>
      </c>
      <c r="P57" s="316">
        <v>273</v>
      </c>
      <c r="Q57" s="333"/>
      <c r="R57" s="333"/>
      <c r="S57" s="333"/>
      <c r="X57" s="320" t="s">
        <v>253</v>
      </c>
      <c r="Y57">
        <v>440</v>
      </c>
      <c r="Z57" s="401">
        <f t="shared" si="1"/>
        <v>0.29399999999999998</v>
      </c>
      <c r="AC57" s="70" t="s">
        <v>88</v>
      </c>
      <c r="AD57" s="373"/>
      <c r="AE57" s="373"/>
      <c r="AF57" s="399"/>
    </row>
    <row r="58" spans="1:37" ht="15.75" thickBot="1" x14ac:dyDescent="0.25">
      <c r="A58" s="98" t="s">
        <v>111</v>
      </c>
      <c r="B58" s="348">
        <v>9223885.1900000013</v>
      </c>
      <c r="C58" s="347">
        <f>-51534-9136</f>
        <v>-60670</v>
      </c>
      <c r="D58" s="348">
        <v>2189</v>
      </c>
      <c r="E58" s="347">
        <v>188439</v>
      </c>
      <c r="F58" s="351">
        <v>106576756.25087234</v>
      </c>
      <c r="G58" s="112">
        <f t="shared" si="5"/>
        <v>-5.6926108594624648E-4</v>
      </c>
      <c r="H58" s="112">
        <f t="shared" si="6"/>
        <v>2.0539187689736831E-5</v>
      </c>
      <c r="I58" s="112">
        <f t="shared" si="7"/>
        <v>1.7681059794729642E-3</v>
      </c>
      <c r="J58" s="8"/>
      <c r="O58" t="s">
        <v>44</v>
      </c>
      <c r="P58" s="316">
        <v>299</v>
      </c>
      <c r="Q58" s="333"/>
      <c r="R58" s="333"/>
      <c r="S58" s="333"/>
      <c r="X58" s="320" t="s">
        <v>254</v>
      </c>
      <c r="Y58">
        <v>441</v>
      </c>
      <c r="Z58" s="401">
        <f t="shared" si="1"/>
        <v>0.47099999999999997</v>
      </c>
      <c r="AB58">
        <v>479</v>
      </c>
      <c r="AC58" s="71" t="s">
        <v>160</v>
      </c>
      <c r="AD58" s="370">
        <v>16.399999999999999</v>
      </c>
      <c r="AE58" s="370">
        <v>16.62</v>
      </c>
      <c r="AF58" s="399">
        <v>0.15</v>
      </c>
    </row>
    <row r="59" spans="1:37" ht="15.75" thickBot="1" x14ac:dyDescent="0.25">
      <c r="A59" t="s">
        <v>112</v>
      </c>
      <c r="B59" s="348">
        <v>97668169.820000008</v>
      </c>
      <c r="C59" s="347">
        <f>-574096-101712</f>
        <v>-675808</v>
      </c>
      <c r="D59" s="348">
        <v>21638</v>
      </c>
      <c r="E59" s="347">
        <v>2431369</v>
      </c>
      <c r="F59" s="351">
        <v>1188734551.9250064</v>
      </c>
      <c r="G59" s="112">
        <f t="shared" si="5"/>
        <v>-5.6851043734331926E-4</v>
      </c>
      <c r="H59" s="112">
        <f t="shared" si="6"/>
        <v>1.8202549900614881E-5</v>
      </c>
      <c r="I59" s="112">
        <f t="shared" si="7"/>
        <v>2.0453422474030918E-3</v>
      </c>
      <c r="J59" s="8"/>
      <c r="O59" t="s">
        <v>45</v>
      </c>
      <c r="P59" s="316">
        <v>322</v>
      </c>
      <c r="Q59" s="333"/>
      <c r="R59" s="333"/>
      <c r="S59" s="333"/>
      <c r="X59" s="320" t="s">
        <v>255</v>
      </c>
      <c r="Y59">
        <v>452</v>
      </c>
      <c r="Z59" s="401">
        <f t="shared" si="1"/>
        <v>0.18099999999999999</v>
      </c>
      <c r="AB59">
        <v>480</v>
      </c>
      <c r="AC59" s="72" t="s">
        <v>161</v>
      </c>
      <c r="AD59" s="371">
        <v>26.62</v>
      </c>
      <c r="AE59" s="371">
        <v>27.41</v>
      </c>
      <c r="AF59" s="399">
        <v>0.15</v>
      </c>
    </row>
    <row r="60" spans="1:37" ht="15.75" thickBot="1" x14ac:dyDescent="0.25">
      <c r="A60" s="46" t="s">
        <v>344</v>
      </c>
      <c r="B60" s="348">
        <v>147536447.75999999</v>
      </c>
      <c r="C60" s="347">
        <f>-986540-174903</f>
        <v>-1161443</v>
      </c>
      <c r="D60" s="348">
        <v>17678</v>
      </c>
      <c r="E60" s="347">
        <v>4425404</v>
      </c>
      <c r="F60" s="351">
        <v>2040264401.2792964</v>
      </c>
      <c r="G60" s="112">
        <f t="shared" si="5"/>
        <v>-5.6926102287122515E-4</v>
      </c>
      <c r="H60" s="112">
        <f t="shared" si="6"/>
        <v>8.6645632737185703E-6</v>
      </c>
      <c r="I60" s="112">
        <f t="shared" si="7"/>
        <v>2.1690345610231505E-3</v>
      </c>
      <c r="J60" s="8"/>
      <c r="O60" t="s">
        <v>46</v>
      </c>
      <c r="P60" s="316">
        <v>368</v>
      </c>
      <c r="Q60" s="333"/>
      <c r="R60" s="333"/>
      <c r="S60" s="333"/>
      <c r="X60" s="320" t="s">
        <v>256</v>
      </c>
      <c r="Y60">
        <v>453</v>
      </c>
      <c r="Z60" s="401">
        <f t="shared" si="1"/>
        <v>0.29399999999999998</v>
      </c>
      <c r="AB60">
        <v>481</v>
      </c>
      <c r="AC60" s="72" t="s">
        <v>162</v>
      </c>
      <c r="AD60" s="371">
        <v>22.43</v>
      </c>
      <c r="AE60" s="371">
        <v>23.1</v>
      </c>
      <c r="AF60" s="399">
        <v>0.35</v>
      </c>
      <c r="AH60" t="s">
        <v>416</v>
      </c>
    </row>
    <row r="61" spans="1:37" ht="15.75" thickBot="1" x14ac:dyDescent="0.25">
      <c r="A61" t="s">
        <v>113</v>
      </c>
      <c r="B61" s="348">
        <v>67522695.889999986</v>
      </c>
      <c r="C61" s="347">
        <f>-524020-89111</f>
        <v>-613131</v>
      </c>
      <c r="D61" s="348">
        <v>0</v>
      </c>
      <c r="E61" s="347">
        <v>2419220</v>
      </c>
      <c r="F61" s="351">
        <v>1056222221.3178369</v>
      </c>
      <c r="G61" s="112">
        <f t="shared" si="5"/>
        <v>-5.8049431987428101E-4</v>
      </c>
      <c r="H61" s="112">
        <f t="shared" si="6"/>
        <v>0</v>
      </c>
      <c r="I61" s="112">
        <f t="shared" si="7"/>
        <v>2.2904460360449203E-3</v>
      </c>
      <c r="J61" s="8"/>
      <c r="O61" s="30" t="s">
        <v>352</v>
      </c>
      <c r="P61" s="316">
        <v>386</v>
      </c>
      <c r="Q61" s="333"/>
      <c r="R61" s="333"/>
      <c r="S61" s="333"/>
      <c r="X61" s="320" t="s">
        <v>257</v>
      </c>
      <c r="Y61">
        <v>454</v>
      </c>
      <c r="Z61" s="401">
        <f t="shared" si="1"/>
        <v>0.47099999999999997</v>
      </c>
      <c r="AB61">
        <v>482</v>
      </c>
      <c r="AC61" s="72" t="s">
        <v>163</v>
      </c>
      <c r="AD61" s="371">
        <v>33.549999999999997</v>
      </c>
      <c r="AE61" s="371">
        <v>34.549999999999997</v>
      </c>
      <c r="AF61" s="399">
        <v>0.35</v>
      </c>
      <c r="AH61" t="s">
        <v>416</v>
      </c>
    </row>
    <row r="62" spans="1:37" ht="14.45" customHeight="1" thickBot="1" x14ac:dyDescent="0.25">
      <c r="A62" s="30" t="s">
        <v>114</v>
      </c>
      <c r="B62" s="348">
        <v>0</v>
      </c>
      <c r="C62" s="347">
        <v>0</v>
      </c>
      <c r="D62" s="348">
        <v>0</v>
      </c>
      <c r="E62" s="347">
        <v>0</v>
      </c>
      <c r="F62" s="351">
        <v>0</v>
      </c>
      <c r="G62" s="112">
        <v>0</v>
      </c>
      <c r="H62" s="112">
        <v>0</v>
      </c>
      <c r="I62" s="112">
        <v>0</v>
      </c>
      <c r="J62" s="8"/>
      <c r="O62" s="30" t="s">
        <v>47</v>
      </c>
      <c r="P62" s="316">
        <v>415</v>
      </c>
      <c r="Q62" s="333"/>
      <c r="R62" s="333"/>
      <c r="S62" s="333"/>
      <c r="X62" s="320" t="s">
        <v>350</v>
      </c>
      <c r="Y62">
        <v>455</v>
      </c>
      <c r="Z62" s="401">
        <f t="shared" si="1"/>
        <v>0.18099999999999999</v>
      </c>
      <c r="AB62">
        <v>483</v>
      </c>
      <c r="AC62" s="66" t="s">
        <v>164</v>
      </c>
      <c r="AD62" s="375">
        <v>46.2</v>
      </c>
      <c r="AE62" s="375">
        <v>47.57</v>
      </c>
      <c r="AF62" s="399">
        <v>1.08</v>
      </c>
      <c r="AG62" s="17"/>
      <c r="AH62" s="17"/>
      <c r="AI62" s="17"/>
      <c r="AJ62" s="17"/>
      <c r="AK62" s="17"/>
    </row>
    <row r="63" spans="1:37" ht="14.45" customHeight="1" thickBot="1" x14ac:dyDescent="0.25">
      <c r="A63" s="81" t="s">
        <v>383</v>
      </c>
      <c r="B63" s="348">
        <v>3705634.8699999996</v>
      </c>
      <c r="C63" s="348">
        <f>-27682-5029</f>
        <v>-32711</v>
      </c>
      <c r="D63" s="315"/>
      <c r="E63" s="348">
        <v>110629.08</v>
      </c>
      <c r="F63" s="351">
        <v>56985483.333333328</v>
      </c>
      <c r="G63" s="115">
        <f>+C63/F63</f>
        <v>-5.7402338431805297E-4</v>
      </c>
      <c r="H63" s="115">
        <f>+D63/$F63</f>
        <v>0</v>
      </c>
      <c r="I63" s="115">
        <f>+E63/$F63</f>
        <v>1.9413554738648355E-3</v>
      </c>
      <c r="J63" s="116" t="s">
        <v>129</v>
      </c>
      <c r="X63" s="320" t="s">
        <v>258</v>
      </c>
      <c r="Y63">
        <v>456</v>
      </c>
      <c r="Z63" s="401">
        <f t="shared" si="1"/>
        <v>0.47099999999999997</v>
      </c>
      <c r="AB63">
        <v>484</v>
      </c>
      <c r="AC63" s="75" t="s">
        <v>165</v>
      </c>
      <c r="AD63" s="376">
        <v>57.3</v>
      </c>
      <c r="AE63" s="376">
        <v>59</v>
      </c>
      <c r="AF63" s="399">
        <v>1.08</v>
      </c>
      <c r="AG63" s="17"/>
      <c r="AH63" s="17"/>
      <c r="AI63" s="17"/>
      <c r="AJ63" s="17"/>
      <c r="AK63" s="17"/>
    </row>
    <row r="64" spans="1:37" ht="15.75" thickBot="1" x14ac:dyDescent="0.25">
      <c r="A64" s="81" t="s">
        <v>331</v>
      </c>
      <c r="B64" s="348">
        <v>303564.91000000003</v>
      </c>
      <c r="C64" s="348">
        <f>-2052-376</f>
        <v>-2428</v>
      </c>
      <c r="D64" s="348">
        <v>0</v>
      </c>
      <c r="E64" s="348">
        <v>20226.810000000001</v>
      </c>
      <c r="F64" s="351">
        <v>4055710.5725808907</v>
      </c>
      <c r="G64" s="115">
        <f t="shared" ref="G64:G65" si="8">+C64/F64</f>
        <v>-5.9866204862220199E-4</v>
      </c>
      <c r="H64" s="115">
        <f t="shared" ref="H64:H65" si="9">+D64/$F64</f>
        <v>0</v>
      </c>
      <c r="I64" s="115">
        <f t="shared" ref="I64:I65" si="10">+E64/$F64</f>
        <v>4.987241973514021E-3</v>
      </c>
      <c r="J64" s="116"/>
      <c r="X64" s="320" t="s">
        <v>351</v>
      </c>
      <c r="Y64">
        <v>457</v>
      </c>
      <c r="Z64" s="401">
        <f t="shared" si="1"/>
        <v>0.11700000000000001</v>
      </c>
      <c r="AC64" s="121"/>
      <c r="AD64" s="379"/>
      <c r="AE64" s="379"/>
      <c r="AF64" s="399"/>
      <c r="AG64" s="83"/>
      <c r="AH64" s="83"/>
      <c r="AI64" s="83"/>
      <c r="AJ64" s="17"/>
      <c r="AK64" s="17"/>
    </row>
    <row r="65" spans="1:37" ht="15.75" thickBot="1" x14ac:dyDescent="0.25">
      <c r="A65" s="81" t="s">
        <v>326</v>
      </c>
      <c r="B65" s="348">
        <v>331597.31</v>
      </c>
      <c r="C65" s="348">
        <f>-1588-286</f>
        <v>-1874</v>
      </c>
      <c r="D65" s="348">
        <v>0</v>
      </c>
      <c r="E65" s="348">
        <v>17576</v>
      </c>
      <c r="F65" s="351">
        <v>3222969.4227663162</v>
      </c>
      <c r="G65" s="115">
        <f t="shared" si="8"/>
        <v>-5.814513742396978E-4</v>
      </c>
      <c r="H65" s="115">
        <f t="shared" si="9"/>
        <v>0</v>
      </c>
      <c r="I65" s="115">
        <f t="shared" si="10"/>
        <v>5.4533561118660237E-3</v>
      </c>
      <c r="J65" s="116"/>
      <c r="X65" s="320"/>
      <c r="Z65" s="401"/>
      <c r="AC65" s="275" t="s">
        <v>353</v>
      </c>
      <c r="AD65" s="380"/>
      <c r="AE65" s="380"/>
      <c r="AF65" s="399"/>
      <c r="AG65" s="83"/>
      <c r="AH65" s="83"/>
      <c r="AI65" s="83"/>
      <c r="AJ65" s="17"/>
      <c r="AK65" s="17"/>
    </row>
    <row r="66" spans="1:37" ht="15.75" thickBot="1" x14ac:dyDescent="0.25">
      <c r="A66" s="46" t="s">
        <v>411</v>
      </c>
      <c r="B66" s="349">
        <v>0</v>
      </c>
      <c r="C66" s="349">
        <v>0</v>
      </c>
      <c r="D66" s="349">
        <v>0</v>
      </c>
      <c r="E66" s="349">
        <v>0</v>
      </c>
      <c r="F66" s="353">
        <v>1E-3</v>
      </c>
      <c r="G66" s="346">
        <f>+C66/$F66</f>
        <v>0</v>
      </c>
      <c r="H66" s="346">
        <f>+D66/$F66</f>
        <v>0</v>
      </c>
      <c r="I66" s="346">
        <f>+E66/$F66</f>
        <v>0</v>
      </c>
      <c r="J66" s="8"/>
      <c r="X66" s="320" t="s">
        <v>259</v>
      </c>
      <c r="Y66">
        <v>458</v>
      </c>
      <c r="Z66" s="401" t="e">
        <f>VLOOKUP(Y66,$AB$9:$AF$161,5,FALSE)</f>
        <v>#N/A</v>
      </c>
      <c r="AC66" s="274"/>
      <c r="AD66" s="368"/>
      <c r="AE66" s="368"/>
      <c r="AF66" s="399"/>
      <c r="AG66" s="83"/>
      <c r="AH66" s="83"/>
      <c r="AI66" s="83"/>
      <c r="AJ66" s="17"/>
      <c r="AK66" s="17"/>
    </row>
    <row r="67" spans="1:37" ht="15.75" thickBot="1" x14ac:dyDescent="0.25">
      <c r="A67" s="46" t="s">
        <v>412</v>
      </c>
      <c r="B67" s="349">
        <v>10237.64</v>
      </c>
      <c r="C67" s="349">
        <v>-14</v>
      </c>
      <c r="D67" s="349">
        <v>1</v>
      </c>
      <c r="E67" s="349">
        <v>42</v>
      </c>
      <c r="F67" s="353">
        <v>23999.62235869671</v>
      </c>
      <c r="G67" s="346">
        <f t="shared" ref="G67:G88" si="11">+C67/$F67</f>
        <v>-5.8334251225944139E-4</v>
      </c>
      <c r="H67" s="346">
        <f t="shared" ref="H67:H88" si="12">+D67/$F67</f>
        <v>4.1667322304245819E-5</v>
      </c>
      <c r="I67" s="346">
        <f t="shared" ref="I67:I88" si="13">+E67/$F67</f>
        <v>1.7500275367783242E-3</v>
      </c>
      <c r="J67" s="8"/>
      <c r="X67" s="320" t="s">
        <v>423</v>
      </c>
      <c r="Y67" t="s">
        <v>433</v>
      </c>
      <c r="Z67" s="401">
        <f>VLOOKUP(Y67,$AB$9:$AF$161,5,FALSE)</f>
        <v>2.1999999999999999E-2</v>
      </c>
      <c r="AB67" t="s">
        <v>433</v>
      </c>
      <c r="AC67" s="274" t="s">
        <v>454</v>
      </c>
      <c r="AD67" s="368"/>
      <c r="AE67" s="368">
        <v>3.94</v>
      </c>
      <c r="AF67" s="399">
        <v>2.1999999999999999E-2</v>
      </c>
      <c r="AG67" s="83"/>
      <c r="AH67" s="83"/>
      <c r="AI67" s="83"/>
      <c r="AJ67" s="17"/>
      <c r="AK67" s="17"/>
    </row>
    <row r="68" spans="1:37" ht="15.75" thickBot="1" x14ac:dyDescent="0.25">
      <c r="A68" s="46"/>
      <c r="B68" s="349"/>
      <c r="C68" s="349"/>
      <c r="D68" s="349"/>
      <c r="E68" s="349"/>
      <c r="F68" s="353"/>
      <c r="G68" s="346"/>
      <c r="H68" s="346"/>
      <c r="I68" s="346"/>
      <c r="J68" s="8"/>
      <c r="X68" s="320"/>
      <c r="Z68" s="401"/>
      <c r="AB68">
        <v>496</v>
      </c>
      <c r="AC68" s="274" t="s">
        <v>371</v>
      </c>
      <c r="AD68" s="368">
        <v>54.63</v>
      </c>
      <c r="AE68" s="368">
        <v>5.17</v>
      </c>
      <c r="AF68" s="399">
        <v>7.0999999999999994E-2</v>
      </c>
      <c r="AG68" s="83"/>
      <c r="AH68" s="83"/>
      <c r="AI68" s="83"/>
      <c r="AJ68" s="17"/>
      <c r="AK68" s="17"/>
    </row>
    <row r="69" spans="1:37" ht="15.75" thickBot="1" x14ac:dyDescent="0.25">
      <c r="A69" s="46"/>
      <c r="B69" s="349"/>
      <c r="C69" s="349"/>
      <c r="D69" s="349"/>
      <c r="E69" s="349"/>
      <c r="F69" s="353"/>
      <c r="G69" s="346"/>
      <c r="H69" s="346"/>
      <c r="I69" s="346"/>
      <c r="J69" s="8"/>
      <c r="X69" s="320"/>
      <c r="Z69" s="401"/>
      <c r="AB69">
        <v>497</v>
      </c>
      <c r="AC69" s="274" t="s">
        <v>372</v>
      </c>
      <c r="AD69" s="368">
        <v>57.64</v>
      </c>
      <c r="AE69" s="368">
        <v>7.19</v>
      </c>
      <c r="AF69" s="399">
        <v>0.122</v>
      </c>
      <c r="AG69" s="83"/>
      <c r="AH69" s="83"/>
      <c r="AI69" s="83"/>
      <c r="AJ69" s="17"/>
      <c r="AK69" s="17"/>
    </row>
    <row r="70" spans="1:37" ht="15.75" thickBot="1" x14ac:dyDescent="0.25">
      <c r="A70" s="46"/>
      <c r="B70" s="349"/>
      <c r="C70" s="349"/>
      <c r="D70" s="349"/>
      <c r="E70" s="349"/>
      <c r="F70" s="353"/>
      <c r="G70" s="346"/>
      <c r="H70" s="346"/>
      <c r="I70" s="346"/>
      <c r="J70" s="8"/>
      <c r="X70" s="320"/>
      <c r="Z70" s="401"/>
      <c r="AB70">
        <v>498</v>
      </c>
      <c r="AC70" s="274" t="s">
        <v>373</v>
      </c>
      <c r="AD70" s="368">
        <v>65.790000000000006</v>
      </c>
      <c r="AE70" s="368">
        <v>10.36</v>
      </c>
      <c r="AF70" s="399">
        <v>0.19400000000000001</v>
      </c>
      <c r="AG70" s="83"/>
      <c r="AH70" s="83"/>
      <c r="AI70" s="83"/>
      <c r="AJ70" s="17"/>
      <c r="AK70" s="17"/>
    </row>
    <row r="71" spans="1:37" ht="15.75" thickBot="1" x14ac:dyDescent="0.25">
      <c r="A71" s="46"/>
      <c r="B71" s="349"/>
      <c r="C71" s="349"/>
      <c r="D71" s="349"/>
      <c r="E71" s="349"/>
      <c r="F71" s="353"/>
      <c r="G71" s="346"/>
      <c r="H71" s="346"/>
      <c r="I71" s="346"/>
      <c r="J71" s="8"/>
      <c r="X71" s="320"/>
      <c r="Z71" s="401"/>
      <c r="AB71">
        <v>499</v>
      </c>
      <c r="AC71" s="274" t="s">
        <v>374</v>
      </c>
      <c r="AD71" s="368">
        <v>48.35</v>
      </c>
      <c r="AE71" s="368">
        <v>7.25</v>
      </c>
      <c r="AF71" s="399">
        <v>4.3999999999999997E-2</v>
      </c>
      <c r="AG71" s="83"/>
      <c r="AH71" s="83"/>
      <c r="AI71" s="83"/>
      <c r="AJ71" s="17"/>
      <c r="AK71" s="17"/>
    </row>
    <row r="72" spans="1:37" ht="15.75" thickBot="1" x14ac:dyDescent="0.25">
      <c r="A72" s="46" t="s">
        <v>413</v>
      </c>
      <c r="B72" s="349">
        <v>157356.24</v>
      </c>
      <c r="C72" s="349">
        <v>0</v>
      </c>
      <c r="D72" s="349">
        <v>0</v>
      </c>
      <c r="E72" s="349">
        <v>0</v>
      </c>
      <c r="F72" s="353">
        <v>1E-3</v>
      </c>
      <c r="G72" s="346">
        <f t="shared" si="11"/>
        <v>0</v>
      </c>
      <c r="H72" s="346">
        <f t="shared" si="12"/>
        <v>0</v>
      </c>
      <c r="I72" s="346">
        <f t="shared" si="13"/>
        <v>0</v>
      </c>
      <c r="J72" s="8"/>
      <c r="X72" s="320" t="s">
        <v>444</v>
      </c>
      <c r="Y72" t="s">
        <v>434</v>
      </c>
      <c r="Z72" s="401">
        <f t="shared" ref="Z72:Z86" si="14">VLOOKUP(Y72,$AB$9:$AF$161,5,FALSE)</f>
        <v>0.04</v>
      </c>
      <c r="AB72" t="s">
        <v>434</v>
      </c>
      <c r="AC72" s="274" t="s">
        <v>455</v>
      </c>
      <c r="AD72" s="368"/>
      <c r="AE72" s="368">
        <v>6.75</v>
      </c>
      <c r="AF72" s="399">
        <v>0.04</v>
      </c>
      <c r="AG72" s="83"/>
      <c r="AH72" s="83"/>
      <c r="AI72" s="83"/>
      <c r="AJ72" s="17"/>
      <c r="AK72" s="17"/>
    </row>
    <row r="73" spans="1:37" ht="15.75" thickBot="1" x14ac:dyDescent="0.25">
      <c r="A73" s="46" t="s">
        <v>385</v>
      </c>
      <c r="B73" s="349">
        <v>2963.0900000000006</v>
      </c>
      <c r="C73" s="349">
        <v>-2</v>
      </c>
      <c r="D73" s="349">
        <v>0</v>
      </c>
      <c r="E73" s="349">
        <v>329</v>
      </c>
      <c r="F73" s="353">
        <v>4799.9244717393412</v>
      </c>
      <c r="G73" s="346">
        <f t="shared" si="11"/>
        <v>-4.166732230424582E-4</v>
      </c>
      <c r="H73" s="346">
        <f t="shared" si="12"/>
        <v>0</v>
      </c>
      <c r="I73" s="346">
        <f t="shared" si="13"/>
        <v>6.854274519048438E-2</v>
      </c>
      <c r="J73" s="8"/>
      <c r="X73" s="320" t="s">
        <v>445</v>
      </c>
      <c r="Y73" t="s">
        <v>435</v>
      </c>
      <c r="Z73" s="401">
        <f t="shared" si="14"/>
        <v>5.7000000000000002E-2</v>
      </c>
      <c r="AB73" t="s">
        <v>435</v>
      </c>
      <c r="AC73" s="274" t="s">
        <v>456</v>
      </c>
      <c r="AD73" s="368"/>
      <c r="AE73" s="368">
        <v>6.74</v>
      </c>
      <c r="AF73" s="399">
        <v>5.7000000000000002E-2</v>
      </c>
      <c r="AG73" s="83"/>
      <c r="AH73" s="83"/>
      <c r="AI73" s="83"/>
      <c r="AJ73" s="17"/>
      <c r="AK73" s="17"/>
    </row>
    <row r="74" spans="1:37" ht="15.75" thickBot="1" x14ac:dyDescent="0.25">
      <c r="A74" s="46" t="s">
        <v>414</v>
      </c>
      <c r="B74" s="349">
        <v>13341978.1</v>
      </c>
      <c r="C74" s="349">
        <f>-31839-5884</f>
        <v>-37723</v>
      </c>
      <c r="D74" s="349">
        <v>0</v>
      </c>
      <c r="E74" s="349">
        <v>1569795.49</v>
      </c>
      <c r="F74" s="353">
        <v>63860535</v>
      </c>
      <c r="G74" s="346"/>
      <c r="H74" s="346">
        <f t="shared" si="12"/>
        <v>0</v>
      </c>
      <c r="I74" s="346"/>
      <c r="J74" s="8"/>
      <c r="X74" s="320" t="s">
        <v>446</v>
      </c>
      <c r="Y74" t="s">
        <v>436</v>
      </c>
      <c r="Z74" s="401">
        <f t="shared" si="14"/>
        <v>8.6999999999999994E-2</v>
      </c>
      <c r="AB74" t="s">
        <v>436</v>
      </c>
      <c r="AC74" s="274" t="s">
        <v>457</v>
      </c>
      <c r="AD74" s="368"/>
      <c r="AE74" s="368">
        <v>7.85</v>
      </c>
      <c r="AF74" s="399">
        <v>8.6999999999999994E-2</v>
      </c>
      <c r="AG74" s="83"/>
      <c r="AH74" s="83"/>
      <c r="AI74" s="83"/>
      <c r="AJ74" s="17"/>
      <c r="AK74" s="17"/>
    </row>
    <row r="75" spans="1:37" ht="15.75" thickBot="1" x14ac:dyDescent="0.25">
      <c r="A75" s="46"/>
      <c r="B75" s="349"/>
      <c r="C75" s="349"/>
      <c r="D75" s="349"/>
      <c r="E75" s="349"/>
      <c r="F75" s="353"/>
      <c r="G75" s="346"/>
      <c r="H75" s="346"/>
      <c r="I75" s="346"/>
      <c r="J75" s="8"/>
      <c r="X75" s="320" t="s">
        <v>447</v>
      </c>
      <c r="Y75" t="s">
        <v>437</v>
      </c>
      <c r="Z75" s="401">
        <f t="shared" si="14"/>
        <v>0.14299999999999999</v>
      </c>
      <c r="AB75" t="s">
        <v>437</v>
      </c>
      <c r="AC75" s="274" t="s">
        <v>458</v>
      </c>
      <c r="AD75" s="368"/>
      <c r="AE75" s="368">
        <v>9.56</v>
      </c>
      <c r="AF75" s="399">
        <v>0.14299999999999999</v>
      </c>
      <c r="AG75" s="83"/>
      <c r="AH75" s="83"/>
      <c r="AI75" s="83"/>
      <c r="AJ75" s="17"/>
      <c r="AK75" s="17"/>
    </row>
    <row r="76" spans="1:37" ht="15.75" thickBot="1" x14ac:dyDescent="0.25">
      <c r="A76" s="46"/>
      <c r="B76" s="349"/>
      <c r="C76" s="349"/>
      <c r="D76" s="349"/>
      <c r="E76" s="349"/>
      <c r="F76" s="353"/>
      <c r="G76" s="346"/>
      <c r="H76" s="346"/>
      <c r="I76" s="346"/>
      <c r="J76" s="8"/>
      <c r="X76" s="320" t="s">
        <v>448</v>
      </c>
      <c r="Y76" t="s">
        <v>438</v>
      </c>
      <c r="Z76" s="401">
        <f t="shared" si="14"/>
        <v>0.22</v>
      </c>
      <c r="AB76" t="s">
        <v>438</v>
      </c>
      <c r="AC76" s="274" t="s">
        <v>459</v>
      </c>
      <c r="AD76" s="368"/>
      <c r="AE76" s="368">
        <v>13.86</v>
      </c>
      <c r="AF76" s="399">
        <v>0.22</v>
      </c>
      <c r="AG76" s="83"/>
      <c r="AH76" s="83"/>
      <c r="AI76" s="83"/>
      <c r="AJ76" s="17"/>
      <c r="AK76" s="17"/>
    </row>
    <row r="77" spans="1:37" ht="15.75" thickBot="1" x14ac:dyDescent="0.25">
      <c r="A77" s="46"/>
      <c r="B77" s="349"/>
      <c r="C77" s="349"/>
      <c r="D77" s="349"/>
      <c r="E77" s="349"/>
      <c r="F77" s="353"/>
      <c r="G77" s="346"/>
      <c r="H77" s="346"/>
      <c r="I77" s="346"/>
      <c r="J77" s="8"/>
      <c r="X77" s="320" t="s">
        <v>449</v>
      </c>
      <c r="Y77" t="s">
        <v>439</v>
      </c>
      <c r="Z77" s="401">
        <f t="shared" si="14"/>
        <v>0.38</v>
      </c>
      <c r="AB77" t="s">
        <v>439</v>
      </c>
      <c r="AC77" s="274" t="s">
        <v>460</v>
      </c>
      <c r="AD77" s="368"/>
      <c r="AE77" s="368">
        <v>20.91</v>
      </c>
      <c r="AF77" s="399">
        <v>0.38</v>
      </c>
      <c r="AG77" s="83"/>
      <c r="AH77" s="83"/>
      <c r="AI77" s="83"/>
      <c r="AJ77" s="17"/>
      <c r="AK77" s="17"/>
    </row>
    <row r="78" spans="1:37" ht="15.75" thickBot="1" x14ac:dyDescent="0.25">
      <c r="A78" s="46"/>
      <c r="B78" s="349"/>
      <c r="C78" s="349"/>
      <c r="D78" s="349"/>
      <c r="E78" s="349"/>
      <c r="F78" s="353"/>
      <c r="G78" s="346"/>
      <c r="H78" s="346"/>
      <c r="I78" s="346"/>
      <c r="J78" s="8"/>
      <c r="X78" s="320" t="s">
        <v>450</v>
      </c>
      <c r="Y78" t="s">
        <v>440</v>
      </c>
      <c r="Z78" s="401">
        <f t="shared" si="14"/>
        <v>0.03</v>
      </c>
      <c r="AB78" t="s">
        <v>440</v>
      </c>
      <c r="AC78" s="274" t="s">
        <v>461</v>
      </c>
      <c r="AD78" s="368"/>
      <c r="AE78" s="368">
        <v>7.86</v>
      </c>
      <c r="AF78" s="399">
        <v>0.03</v>
      </c>
      <c r="AG78" s="83"/>
      <c r="AH78" s="83"/>
      <c r="AI78" s="83"/>
      <c r="AJ78" s="17"/>
      <c r="AK78" s="17"/>
    </row>
    <row r="79" spans="1:37" ht="15.75" thickBot="1" x14ac:dyDescent="0.25">
      <c r="A79" s="46"/>
      <c r="B79" s="349"/>
      <c r="C79" s="349"/>
      <c r="D79" s="349"/>
      <c r="E79" s="349"/>
      <c r="F79" s="353"/>
      <c r="G79" s="346"/>
      <c r="H79" s="346"/>
      <c r="I79" s="346"/>
      <c r="J79" s="8"/>
      <c r="X79" s="320" t="s">
        <v>451</v>
      </c>
      <c r="Y79" t="s">
        <v>441</v>
      </c>
      <c r="Z79" s="401">
        <f t="shared" si="14"/>
        <v>9.6000000000000002E-2</v>
      </c>
      <c r="AB79" t="s">
        <v>441</v>
      </c>
      <c r="AC79" s="274" t="s">
        <v>462</v>
      </c>
      <c r="AD79" s="368"/>
      <c r="AE79" s="368">
        <v>9.66</v>
      </c>
      <c r="AF79" s="399">
        <v>9.6000000000000002E-2</v>
      </c>
      <c r="AG79" s="83"/>
      <c r="AH79" s="83"/>
      <c r="AI79" s="83"/>
      <c r="AJ79" s="17"/>
      <c r="AK79" s="17"/>
    </row>
    <row r="80" spans="1:37" ht="15.75" thickBot="1" x14ac:dyDescent="0.25">
      <c r="A80" s="46"/>
      <c r="B80" s="349"/>
      <c r="C80" s="349"/>
      <c r="D80" s="349"/>
      <c r="E80" s="349"/>
      <c r="F80" s="353"/>
      <c r="G80" s="346"/>
      <c r="H80" s="346"/>
      <c r="I80" s="346"/>
      <c r="J80" s="8"/>
      <c r="X80" s="320" t="s">
        <v>452</v>
      </c>
      <c r="Y80" t="s">
        <v>442</v>
      </c>
      <c r="Z80" s="401">
        <f t="shared" si="14"/>
        <v>0.17499999999999999</v>
      </c>
      <c r="AB80" t="s">
        <v>442</v>
      </c>
      <c r="AC80" s="274" t="s">
        <v>463</v>
      </c>
      <c r="AD80" s="368"/>
      <c r="AE80" s="368">
        <v>12.01</v>
      </c>
      <c r="AF80" s="399">
        <v>0.17499999999999999</v>
      </c>
      <c r="AG80" s="83"/>
      <c r="AH80" s="83"/>
      <c r="AI80" s="83"/>
      <c r="AJ80" s="17"/>
      <c r="AK80" s="17"/>
    </row>
    <row r="81" spans="1:37" ht="15.75" thickBot="1" x14ac:dyDescent="0.25">
      <c r="A81" s="46"/>
      <c r="B81" s="349"/>
      <c r="C81" s="349"/>
      <c r="D81" s="349"/>
      <c r="E81" s="349"/>
      <c r="F81" s="353"/>
      <c r="G81" s="346"/>
      <c r="H81" s="346"/>
      <c r="I81" s="346"/>
      <c r="J81" s="8"/>
      <c r="X81" s="320" t="s">
        <v>453</v>
      </c>
      <c r="Y81" t="s">
        <v>443</v>
      </c>
      <c r="Z81" s="401">
        <f t="shared" si="14"/>
        <v>0.29699999999999999</v>
      </c>
      <c r="AB81" t="s">
        <v>443</v>
      </c>
      <c r="AC81" s="274" t="s">
        <v>464</v>
      </c>
      <c r="AD81" s="368"/>
      <c r="AE81" s="368">
        <v>18.579999999999998</v>
      </c>
      <c r="AF81" s="399">
        <v>0.29699999999999999</v>
      </c>
      <c r="AG81" s="83"/>
      <c r="AH81" s="83"/>
      <c r="AI81" s="83"/>
      <c r="AJ81" s="17"/>
      <c r="AK81" s="17"/>
    </row>
    <row r="82" spans="1:37" ht="15.75" thickBot="1" x14ac:dyDescent="0.25">
      <c r="A82" s="46"/>
      <c r="B82" s="349"/>
      <c r="C82" s="349"/>
      <c r="D82" s="349"/>
      <c r="E82" s="349"/>
      <c r="F82" s="353"/>
      <c r="G82" s="346"/>
      <c r="H82" s="346"/>
      <c r="I82" s="346"/>
      <c r="J82" s="8"/>
      <c r="X82" s="320" t="s">
        <v>483</v>
      </c>
      <c r="Y82" s="30" t="s">
        <v>488</v>
      </c>
      <c r="Z82" s="401">
        <f t="shared" si="14"/>
        <v>0</v>
      </c>
      <c r="AB82" s="30" t="s">
        <v>488</v>
      </c>
      <c r="AC82" s="274" t="s">
        <v>493</v>
      </c>
      <c r="AD82" s="368"/>
      <c r="AE82" s="368">
        <v>30.99</v>
      </c>
      <c r="AF82" s="399"/>
      <c r="AG82" s="83"/>
      <c r="AH82" s="83"/>
      <c r="AI82" s="83"/>
      <c r="AJ82" s="17"/>
      <c r="AK82" s="17"/>
    </row>
    <row r="83" spans="1:37" ht="15.75" thickBot="1" x14ac:dyDescent="0.25">
      <c r="A83" s="46"/>
      <c r="B83" s="349"/>
      <c r="C83" s="349"/>
      <c r="D83" s="349"/>
      <c r="E83" s="349"/>
      <c r="F83" s="353"/>
      <c r="G83" s="346"/>
      <c r="H83" s="346"/>
      <c r="I83" s="346"/>
      <c r="J83" s="8"/>
      <c r="X83" s="320" t="s">
        <v>484</v>
      </c>
      <c r="Y83" s="30" t="s">
        <v>489</v>
      </c>
      <c r="Z83" s="401">
        <f t="shared" si="14"/>
        <v>0</v>
      </c>
      <c r="AB83" s="30" t="s">
        <v>489</v>
      </c>
      <c r="AC83" s="274" t="s">
        <v>494</v>
      </c>
      <c r="AD83" s="368"/>
      <c r="AE83" s="368">
        <v>14.94</v>
      </c>
      <c r="AF83" s="399"/>
      <c r="AG83" s="83"/>
      <c r="AH83" s="83"/>
      <c r="AI83" s="83"/>
      <c r="AJ83" s="17"/>
      <c r="AK83" s="17"/>
    </row>
    <row r="84" spans="1:37" ht="15.75" thickBot="1" x14ac:dyDescent="0.25">
      <c r="A84" s="46"/>
      <c r="B84" s="349"/>
      <c r="C84" s="349"/>
      <c r="D84" s="349"/>
      <c r="E84" s="349"/>
      <c r="F84" s="353"/>
      <c r="G84" s="346"/>
      <c r="H84" s="346"/>
      <c r="I84" s="346"/>
      <c r="J84" s="8"/>
      <c r="X84" s="320" t="s">
        <v>485</v>
      </c>
      <c r="Y84" s="30" t="s">
        <v>490</v>
      </c>
      <c r="Z84" s="401">
        <f t="shared" si="14"/>
        <v>0</v>
      </c>
      <c r="AB84" s="30" t="s">
        <v>490</v>
      </c>
      <c r="AC84" s="274" t="s">
        <v>495</v>
      </c>
      <c r="AD84" s="368"/>
      <c r="AE84" s="368">
        <v>21.93</v>
      </c>
      <c r="AF84" s="399"/>
      <c r="AG84" s="83"/>
      <c r="AH84" s="83"/>
      <c r="AI84" s="83"/>
      <c r="AJ84" s="17"/>
      <c r="AK84" s="17"/>
    </row>
    <row r="85" spans="1:37" ht="15.75" thickBot="1" x14ac:dyDescent="0.25">
      <c r="A85" s="46"/>
      <c r="B85" s="349"/>
      <c r="C85" s="349"/>
      <c r="D85" s="349"/>
      <c r="E85" s="349"/>
      <c r="F85" s="353"/>
      <c r="G85" s="346"/>
      <c r="H85" s="346"/>
      <c r="I85" s="346"/>
      <c r="J85" s="8"/>
      <c r="X85" s="320" t="s">
        <v>486</v>
      </c>
      <c r="Y85" s="30" t="s">
        <v>491</v>
      </c>
      <c r="Z85" s="401">
        <f t="shared" si="14"/>
        <v>0</v>
      </c>
      <c r="AB85" s="30" t="s">
        <v>491</v>
      </c>
      <c r="AC85" s="274" t="s">
        <v>496</v>
      </c>
      <c r="AD85" s="368"/>
      <c r="AE85" s="368">
        <v>14.73</v>
      </c>
      <c r="AF85" s="399"/>
      <c r="AG85" s="83"/>
      <c r="AH85" s="83"/>
      <c r="AI85" s="83"/>
      <c r="AJ85" s="17"/>
      <c r="AK85" s="17"/>
    </row>
    <row r="86" spans="1:37" ht="15.75" thickBot="1" x14ac:dyDescent="0.25">
      <c r="A86" s="46"/>
      <c r="B86" s="349"/>
      <c r="C86" s="349"/>
      <c r="D86" s="349"/>
      <c r="E86" s="349"/>
      <c r="F86" s="353"/>
      <c r="G86" s="346"/>
      <c r="H86" s="346"/>
      <c r="I86" s="346"/>
      <c r="J86" s="8"/>
      <c r="X86" s="320" t="s">
        <v>487</v>
      </c>
      <c r="Y86" s="30" t="s">
        <v>492</v>
      </c>
      <c r="Z86" s="401">
        <f t="shared" si="14"/>
        <v>0</v>
      </c>
      <c r="AB86" s="30" t="s">
        <v>492</v>
      </c>
      <c r="AC86" s="274" t="s">
        <v>497</v>
      </c>
      <c r="AD86" s="368"/>
      <c r="AE86" s="368">
        <v>20.5</v>
      </c>
      <c r="AF86" s="399"/>
      <c r="AG86" s="83"/>
      <c r="AH86" s="83"/>
      <c r="AI86" s="83"/>
      <c r="AJ86" s="17"/>
      <c r="AK86" s="17"/>
    </row>
    <row r="87" spans="1:37" ht="15.75" thickBot="1" x14ac:dyDescent="0.25">
      <c r="A87" s="46"/>
      <c r="B87" s="349"/>
      <c r="C87" s="349"/>
      <c r="D87" s="349"/>
      <c r="E87" s="349"/>
      <c r="F87" s="353"/>
      <c r="G87" s="346"/>
      <c r="H87" s="346"/>
      <c r="I87" s="346"/>
      <c r="J87" s="8"/>
      <c r="X87" s="320"/>
      <c r="Y87" s="30"/>
      <c r="Z87" s="401"/>
      <c r="AB87" s="30" t="s">
        <v>501</v>
      </c>
      <c r="AC87" s="274" t="s">
        <v>498</v>
      </c>
      <c r="AD87" s="368"/>
      <c r="AE87" s="368">
        <v>7.49</v>
      </c>
      <c r="AF87" s="399"/>
      <c r="AG87" s="83"/>
      <c r="AH87" s="83"/>
      <c r="AI87" s="83"/>
      <c r="AJ87" s="17"/>
      <c r="AK87" s="17"/>
    </row>
    <row r="88" spans="1:37" ht="15.75" thickBot="1" x14ac:dyDescent="0.25">
      <c r="A88" s="88" t="s">
        <v>415</v>
      </c>
      <c r="B88" s="350">
        <v>10604151.5</v>
      </c>
      <c r="C88" s="350">
        <f>-18679-3452</f>
        <v>-22131</v>
      </c>
      <c r="D88" s="350">
        <v>0</v>
      </c>
      <c r="E88" s="350">
        <v>920971.04</v>
      </c>
      <c r="F88" s="354">
        <v>37465838</v>
      </c>
      <c r="G88" s="311">
        <f t="shared" si="11"/>
        <v>-5.9069811810962295E-4</v>
      </c>
      <c r="H88" s="311">
        <f t="shared" si="12"/>
        <v>0</v>
      </c>
      <c r="I88" s="311">
        <f t="shared" si="13"/>
        <v>2.4581621262548568E-2</v>
      </c>
      <c r="J88" s="100"/>
      <c r="X88" s="320" t="s">
        <v>260</v>
      </c>
      <c r="Y88">
        <v>470</v>
      </c>
      <c r="Z88" s="401">
        <f t="shared" ref="Z88:Z94" si="15">VLOOKUP(Y88,$AB$9:$AF$161,5,FALSE)</f>
        <v>0.15</v>
      </c>
      <c r="AC88" s="274"/>
      <c r="AD88" s="368"/>
      <c r="AE88" s="368"/>
      <c r="AF88" s="399"/>
      <c r="AG88" s="83"/>
      <c r="AH88" s="83"/>
      <c r="AI88" s="83"/>
      <c r="AJ88" s="17"/>
      <c r="AK88" s="17"/>
    </row>
    <row r="89" spans="1:37" ht="15.75" thickBot="1" x14ac:dyDescent="0.25">
      <c r="A89" s="88" t="s">
        <v>121</v>
      </c>
      <c r="B89" s="113">
        <f>SUM(B53:B88)</f>
        <v>1144810295.3200002</v>
      </c>
      <c r="C89" s="113">
        <f>SUM(C53:C88)</f>
        <v>-6465287.4199999999</v>
      </c>
      <c r="D89" s="113">
        <f>SUM(D53:D88)</f>
        <v>7645763.6500000004</v>
      </c>
      <c r="E89" s="113">
        <f>SUM(E53:E88)</f>
        <v>46335342.850000001</v>
      </c>
      <c r="F89" s="114">
        <f>SUM(F53:F88)</f>
        <v>11653913633.173481</v>
      </c>
      <c r="G89" s="115">
        <f>+C89/$F89</f>
        <v>-5.5477392603942228E-4</v>
      </c>
      <c r="H89" s="115">
        <f>+D89/$F89</f>
        <v>6.5606832954690256E-4</v>
      </c>
      <c r="I89" s="115">
        <f>+E89/$F89</f>
        <v>3.9759469915843547E-3</v>
      </c>
      <c r="J89" s="100"/>
      <c r="X89" s="320" t="s">
        <v>261</v>
      </c>
      <c r="Y89">
        <v>471</v>
      </c>
      <c r="Z89" s="401">
        <f t="shared" si="15"/>
        <v>0.15</v>
      </c>
      <c r="AC89" s="274"/>
      <c r="AD89" s="368"/>
      <c r="AE89" s="368"/>
      <c r="AF89" s="399"/>
      <c r="AG89" s="83"/>
      <c r="AH89" s="83"/>
      <c r="AI89" s="83"/>
      <c r="AJ89" s="17"/>
      <c r="AK89" s="17"/>
    </row>
    <row r="90" spans="1:37" ht="15.75" thickBot="1" x14ac:dyDescent="0.25">
      <c r="A90" s="30" t="s">
        <v>122</v>
      </c>
      <c r="B90" s="350">
        <v>-6324976</v>
      </c>
      <c r="D90" s="17"/>
      <c r="F90" s="17"/>
      <c r="G90" s="100"/>
      <c r="H90" s="100"/>
      <c r="I90" s="100"/>
      <c r="J90" s="100"/>
      <c r="X90" s="320" t="s">
        <v>262</v>
      </c>
      <c r="Y90">
        <v>473</v>
      </c>
      <c r="Z90" s="401">
        <f t="shared" si="15"/>
        <v>0.35</v>
      </c>
      <c r="AC90" s="274"/>
      <c r="AD90" s="368"/>
      <c r="AE90" s="368"/>
      <c r="AF90" s="399"/>
      <c r="AG90" s="83"/>
      <c r="AH90" s="83"/>
      <c r="AI90" s="83"/>
      <c r="AJ90" s="17"/>
      <c r="AK90" s="17"/>
    </row>
    <row r="91" spans="1:37" ht="15" x14ac:dyDescent="0.2">
      <c r="A91" s="30" t="s">
        <v>121</v>
      </c>
      <c r="B91" s="113">
        <f>+B89+B90</f>
        <v>1138485319.3200002</v>
      </c>
      <c r="D91" s="17"/>
      <c r="F91" s="33" t="s">
        <v>123</v>
      </c>
      <c r="G91" s="112">
        <f>MIN(G53:G66)</f>
        <v>-5.9866204862220199E-4</v>
      </c>
      <c r="H91" s="112">
        <f>MIN(H53:H60)</f>
        <v>8.6645632737185703E-6</v>
      </c>
      <c r="I91" s="112">
        <f>MIN(I53:I66)</f>
        <v>0</v>
      </c>
      <c r="J91" s="100"/>
      <c r="X91" s="320" t="s">
        <v>263</v>
      </c>
      <c r="Y91">
        <v>476</v>
      </c>
      <c r="Z91" s="401">
        <f t="shared" si="15"/>
        <v>1.08</v>
      </c>
      <c r="AC91" s="121"/>
      <c r="AD91" s="379"/>
      <c r="AE91" s="379"/>
      <c r="AF91" s="399"/>
      <c r="AG91" s="83"/>
      <c r="AH91" s="83"/>
      <c r="AI91" s="83"/>
      <c r="AJ91" s="17"/>
      <c r="AK91" s="17"/>
    </row>
    <row r="92" spans="1:37" ht="15" thickBot="1" x14ac:dyDescent="0.25">
      <c r="D92" s="17"/>
      <c r="F92" s="33" t="s">
        <v>124</v>
      </c>
      <c r="G92" s="220">
        <f>MAX(G53:G88)</f>
        <v>0</v>
      </c>
      <c r="H92" s="220">
        <f>MAX(H53:H88)</f>
        <v>1.8110305915478148E-3</v>
      </c>
      <c r="I92" s="220">
        <f>MAX(I53:I88)</f>
        <v>6.854274519048438E-2</v>
      </c>
      <c r="J92" s="100"/>
      <c r="X92" s="320" t="s">
        <v>264</v>
      </c>
      <c r="Y92">
        <v>477</v>
      </c>
      <c r="Z92" s="401">
        <f t="shared" si="15"/>
        <v>1.08</v>
      </c>
      <c r="AC92" s="122" t="s">
        <v>94</v>
      </c>
      <c r="AD92" s="381"/>
      <c r="AE92" s="381"/>
      <c r="AF92" s="399"/>
      <c r="AG92" s="83"/>
      <c r="AH92" s="83"/>
      <c r="AI92" s="83"/>
      <c r="AJ92" s="17"/>
      <c r="AK92" s="17"/>
    </row>
    <row r="93" spans="1:37" ht="15.75" thickBot="1" x14ac:dyDescent="0.25">
      <c r="D93" s="17"/>
      <c r="F93" s="33" t="s">
        <v>125</v>
      </c>
      <c r="G93" s="112">
        <f>+G92-G91</f>
        <v>5.9866204862220199E-4</v>
      </c>
      <c r="H93" s="112">
        <f t="shared" ref="H93:I93" si="16">+H92-H91</f>
        <v>1.8023660282740963E-3</v>
      </c>
      <c r="I93" s="112">
        <f t="shared" si="16"/>
        <v>6.854274519048438E-2</v>
      </c>
      <c r="J93" s="100"/>
      <c r="X93" s="320" t="s">
        <v>265</v>
      </c>
      <c r="Y93">
        <v>480</v>
      </c>
      <c r="Z93" s="401">
        <f t="shared" si="15"/>
        <v>0.15</v>
      </c>
      <c r="AC93" s="59"/>
      <c r="AD93" s="382" t="s">
        <v>85</v>
      </c>
      <c r="AE93" s="398" t="s">
        <v>85</v>
      </c>
      <c r="AF93" s="399"/>
    </row>
    <row r="94" spans="1:37" ht="15.75" thickBot="1" x14ac:dyDescent="0.25">
      <c r="D94" s="17"/>
      <c r="G94" s="8">
        <f t="shared" ref="G94:H94" si="17">(G92-G91)/G91</f>
        <v>-1</v>
      </c>
      <c r="H94" s="8">
        <f t="shared" si="17"/>
        <v>208.01579621918728</v>
      </c>
      <c r="I94" s="8" t="e">
        <f>(I92-I91)/I91</f>
        <v>#DIV/0!</v>
      </c>
      <c r="X94" s="320" t="s">
        <v>266</v>
      </c>
      <c r="Y94">
        <v>481</v>
      </c>
      <c r="Z94" s="401">
        <f t="shared" si="15"/>
        <v>0.35</v>
      </c>
      <c r="AC94" s="60"/>
      <c r="AD94" s="318" t="s">
        <v>1</v>
      </c>
      <c r="AE94" s="318" t="s">
        <v>9</v>
      </c>
      <c r="AF94" s="399"/>
    </row>
    <row r="95" spans="1:37" ht="15.75" thickBot="1" x14ac:dyDescent="0.25">
      <c r="D95" s="17"/>
      <c r="G95" s="8"/>
      <c r="H95" s="8"/>
      <c r="I95" s="8"/>
      <c r="X95" s="320"/>
      <c r="Z95" s="401"/>
      <c r="AC95" s="278" t="s">
        <v>530</v>
      </c>
      <c r="AD95" s="318"/>
      <c r="AE95" s="318"/>
      <c r="AF95" s="399"/>
    </row>
    <row r="96" spans="1:37" ht="15.75" thickBot="1" x14ac:dyDescent="0.25">
      <c r="D96" s="17"/>
      <c r="G96" s="8"/>
      <c r="H96" s="8"/>
      <c r="I96" s="8"/>
      <c r="X96" s="320" t="s">
        <v>528</v>
      </c>
      <c r="Y96">
        <v>958</v>
      </c>
      <c r="Z96" s="401"/>
      <c r="AB96">
        <v>958</v>
      </c>
      <c r="AC96" s="278" t="s">
        <v>512</v>
      </c>
      <c r="AD96" s="371">
        <v>11.32</v>
      </c>
      <c r="AE96" s="371">
        <v>11.66</v>
      </c>
      <c r="AF96" s="399"/>
    </row>
    <row r="97" spans="1:32" ht="15.75" thickBot="1" x14ac:dyDescent="0.25">
      <c r="D97" s="17"/>
      <c r="G97" s="8"/>
      <c r="H97" s="8"/>
      <c r="I97" s="8"/>
      <c r="X97" s="320" t="s">
        <v>529</v>
      </c>
      <c r="Y97">
        <v>900</v>
      </c>
      <c r="Z97" s="401"/>
      <c r="AB97">
        <v>900</v>
      </c>
      <c r="AC97" s="278" t="s">
        <v>513</v>
      </c>
      <c r="AD97" s="371">
        <v>2.15</v>
      </c>
      <c r="AE97" s="371">
        <v>2.21</v>
      </c>
      <c r="AF97" s="399"/>
    </row>
    <row r="98" spans="1:32" ht="15.75" thickBot="1" x14ac:dyDescent="0.25">
      <c r="D98" s="17"/>
      <c r="G98" s="8"/>
      <c r="H98" s="8"/>
      <c r="I98" s="8"/>
      <c r="X98" s="320" t="s">
        <v>532</v>
      </c>
      <c r="Y98">
        <v>901</v>
      </c>
      <c r="Z98" s="401"/>
      <c r="AB98">
        <v>901</v>
      </c>
      <c r="AC98" s="278" t="s">
        <v>517</v>
      </c>
      <c r="AD98" s="371">
        <v>10.82</v>
      </c>
      <c r="AE98" s="371">
        <v>11.14</v>
      </c>
      <c r="AF98" s="399"/>
    </row>
    <row r="99" spans="1:32" ht="15.75" thickBot="1" x14ac:dyDescent="0.25">
      <c r="D99" s="17"/>
      <c r="G99" s="8"/>
      <c r="H99" s="8"/>
      <c r="I99" s="8"/>
      <c r="X99" s="320" t="s">
        <v>531</v>
      </c>
      <c r="Y99">
        <v>902</v>
      </c>
      <c r="Z99" s="401"/>
      <c r="AB99">
        <v>902</v>
      </c>
      <c r="AC99" s="278" t="s">
        <v>518</v>
      </c>
      <c r="AD99" s="371">
        <v>12.91</v>
      </c>
      <c r="AE99" s="371">
        <v>13.29</v>
      </c>
      <c r="AF99" s="399"/>
    </row>
    <row r="100" spans="1:32" ht="15.75" thickBot="1" x14ac:dyDescent="0.25">
      <c r="D100" s="17"/>
      <c r="G100" s="8"/>
      <c r="H100" s="8"/>
      <c r="I100" s="8"/>
      <c r="X100" s="320" t="s">
        <v>533</v>
      </c>
      <c r="Y100">
        <v>950</v>
      </c>
      <c r="Z100" s="401"/>
      <c r="AB100">
        <v>950</v>
      </c>
      <c r="AC100" s="278" t="s">
        <v>522</v>
      </c>
      <c r="AD100" s="371">
        <v>3.62</v>
      </c>
      <c r="AE100" s="371">
        <v>3.73</v>
      </c>
      <c r="AF100" s="399"/>
    </row>
    <row r="101" spans="1:32" ht="15.75" thickBot="1" x14ac:dyDescent="0.25">
      <c r="D101" s="17"/>
      <c r="G101" s="8"/>
      <c r="H101" s="8"/>
      <c r="I101" s="8"/>
      <c r="X101" s="320" t="s">
        <v>534</v>
      </c>
      <c r="Y101">
        <v>951</v>
      </c>
      <c r="Z101" s="401"/>
      <c r="AB101">
        <v>951</v>
      </c>
      <c r="AC101" s="278" t="s">
        <v>523</v>
      </c>
      <c r="AD101" s="371">
        <v>3.83</v>
      </c>
      <c r="AE101" s="371">
        <v>3.94</v>
      </c>
      <c r="AF101" s="399"/>
    </row>
    <row r="102" spans="1:32" ht="15.75" thickBot="1" x14ac:dyDescent="0.25">
      <c r="D102" s="17"/>
      <c r="G102" s="8"/>
      <c r="H102" s="8"/>
      <c r="I102" s="8"/>
      <c r="X102" s="320" t="s">
        <v>535</v>
      </c>
      <c r="Y102">
        <v>956</v>
      </c>
      <c r="Z102" s="401"/>
      <c r="AB102">
        <v>956</v>
      </c>
      <c r="AC102" s="278" t="s">
        <v>524</v>
      </c>
      <c r="AD102" s="371">
        <v>3.71</v>
      </c>
      <c r="AE102" s="371">
        <v>3.82</v>
      </c>
      <c r="AF102" s="399"/>
    </row>
    <row r="103" spans="1:32" ht="15.75" thickBot="1" x14ac:dyDescent="0.25">
      <c r="D103" s="17"/>
      <c r="G103" s="8"/>
      <c r="H103" s="8"/>
      <c r="I103" s="8"/>
      <c r="X103" s="320"/>
      <c r="Z103" s="401"/>
      <c r="AC103" s="278"/>
      <c r="AD103" s="371"/>
      <c r="AE103" s="371"/>
      <c r="AF103" s="399"/>
    </row>
    <row r="104" spans="1:32" ht="15.75" thickBot="1" x14ac:dyDescent="0.25">
      <c r="A104" s="355"/>
      <c r="B104" s="10"/>
      <c r="C104" s="107"/>
      <c r="D104" s="107"/>
      <c r="E104" s="356"/>
      <c r="F104" s="357"/>
      <c r="G104" s="10"/>
      <c r="H104" s="10"/>
      <c r="I104" s="10"/>
      <c r="X104" s="320"/>
      <c r="Z104" s="401"/>
      <c r="AB104" s="17"/>
      <c r="AC104" s="278" t="s">
        <v>92</v>
      </c>
      <c r="AD104" s="371"/>
      <c r="AE104" s="371"/>
      <c r="AF104" s="399"/>
    </row>
    <row r="105" spans="1:32" ht="15.75" thickBot="1" x14ac:dyDescent="0.25">
      <c r="A105" s="358"/>
      <c r="B105" s="10"/>
      <c r="C105" s="359"/>
      <c r="D105" s="359"/>
      <c r="E105" s="359"/>
      <c r="F105" s="10"/>
      <c r="G105" s="10"/>
      <c r="H105" s="10"/>
      <c r="I105" s="10"/>
      <c r="X105" s="320" t="s">
        <v>267</v>
      </c>
      <c r="Y105">
        <v>482</v>
      </c>
      <c r="Z105" s="401">
        <f>VLOOKUP(Y105,$AB$9:$AF$161,5,FALSE)</f>
        <v>0.35</v>
      </c>
      <c r="AB105" s="17"/>
      <c r="AC105" s="276"/>
      <c r="AD105" s="265"/>
      <c r="AE105" s="265"/>
      <c r="AF105" s="399"/>
    </row>
    <row r="106" spans="1:32" ht="15.75" thickBot="1" x14ac:dyDescent="0.25">
      <c r="A106" s="355"/>
      <c r="B106" s="10"/>
      <c r="C106" s="360"/>
      <c r="D106" s="360"/>
      <c r="E106" s="360"/>
      <c r="F106" s="10"/>
      <c r="G106" s="10"/>
      <c r="H106" s="10"/>
      <c r="I106" s="10"/>
      <c r="X106" s="320" t="s">
        <v>268</v>
      </c>
      <c r="Y106">
        <v>483</v>
      </c>
      <c r="Z106" s="401">
        <f>VLOOKUP(Y106,$AB$9:$AF$161,5,FALSE)</f>
        <v>1.08</v>
      </c>
      <c r="AB106" s="88">
        <v>252</v>
      </c>
      <c r="AC106" s="278" t="s">
        <v>166</v>
      </c>
      <c r="AD106" s="371">
        <v>10.88</v>
      </c>
      <c r="AE106" s="371">
        <v>11.2</v>
      </c>
      <c r="AF106" s="399">
        <v>0.21</v>
      </c>
    </row>
    <row r="107" spans="1:32" ht="15.75" thickBot="1" x14ac:dyDescent="0.25">
      <c r="A107" s="10"/>
      <c r="B107" s="10"/>
      <c r="C107" s="10"/>
      <c r="D107" s="107"/>
      <c r="E107" s="10"/>
      <c r="F107" s="10"/>
      <c r="G107" s="10"/>
      <c r="H107" s="10"/>
      <c r="I107" s="10"/>
      <c r="X107" s="320" t="s">
        <v>269</v>
      </c>
      <c r="Y107">
        <v>484</v>
      </c>
      <c r="Z107" s="401">
        <f>VLOOKUP(Y107,$AB$9:$AF$161,5,FALSE)</f>
        <v>1.08</v>
      </c>
      <c r="AB107" s="88">
        <v>203</v>
      </c>
      <c r="AC107" s="279" t="s">
        <v>167</v>
      </c>
      <c r="AD107" s="371">
        <v>12.36</v>
      </c>
      <c r="AE107" s="371">
        <v>12.73</v>
      </c>
      <c r="AF107" s="399">
        <v>0.29799999999999999</v>
      </c>
    </row>
    <row r="108" spans="1:32" ht="15.75" thickBot="1" x14ac:dyDescent="0.25">
      <c r="A108" s="10"/>
      <c r="B108" s="10"/>
      <c r="C108" s="10"/>
      <c r="D108" s="360"/>
      <c r="E108" s="10"/>
      <c r="F108" s="10"/>
      <c r="G108" s="10"/>
      <c r="H108" s="10"/>
      <c r="I108" s="10"/>
      <c r="X108" s="320"/>
      <c r="Z108" s="401"/>
      <c r="AB108" s="88">
        <v>204</v>
      </c>
      <c r="AC108" s="279" t="s">
        <v>168</v>
      </c>
      <c r="AD108" s="371">
        <v>15.12</v>
      </c>
      <c r="AE108" s="371">
        <v>15.57</v>
      </c>
      <c r="AF108" s="399">
        <v>0.46200000000000002</v>
      </c>
    </row>
    <row r="109" spans="1:32" ht="15.75" thickBot="1" x14ac:dyDescent="0.25">
      <c r="A109" s="10"/>
      <c r="B109" s="10"/>
      <c r="C109" s="10"/>
      <c r="D109" s="107"/>
      <c r="E109" s="10"/>
      <c r="F109" s="10"/>
      <c r="G109" s="10"/>
      <c r="H109" s="10"/>
      <c r="I109" s="10"/>
      <c r="X109" s="320" t="s">
        <v>358</v>
      </c>
      <c r="Y109">
        <v>490</v>
      </c>
      <c r="Z109" s="401">
        <f>VLOOKUP(Y109,$AB$9:$AF$161,5,FALSE)</f>
        <v>7.0999999999999994E-2</v>
      </c>
      <c r="AB109" s="88">
        <v>209</v>
      </c>
      <c r="AC109" s="280" t="s">
        <v>337</v>
      </c>
      <c r="AD109" s="371">
        <v>30.57</v>
      </c>
      <c r="AE109" s="371">
        <v>31.48</v>
      </c>
      <c r="AF109" s="399">
        <v>1.18</v>
      </c>
    </row>
    <row r="110" spans="1:32" ht="15.75" thickBot="1" x14ac:dyDescent="0.25">
      <c r="A110" s="358"/>
      <c r="B110" s="10"/>
      <c r="C110" s="10"/>
      <c r="D110" s="10"/>
      <c r="E110" s="10"/>
      <c r="F110" s="10"/>
      <c r="G110" s="10"/>
      <c r="H110" s="10"/>
      <c r="I110" s="10"/>
      <c r="X110" s="320" t="s">
        <v>359</v>
      </c>
      <c r="Y110">
        <v>491</v>
      </c>
      <c r="Z110" s="401">
        <f>VLOOKUP(Y110,$AB$9:$AF$161,5,FALSE)</f>
        <v>0.122</v>
      </c>
      <c r="AB110" s="88">
        <v>207</v>
      </c>
      <c r="AC110" s="280" t="s">
        <v>338</v>
      </c>
      <c r="AD110" s="371">
        <v>17.190000000000001</v>
      </c>
      <c r="AE110" s="371">
        <v>17.7</v>
      </c>
      <c r="AF110" s="399">
        <v>0.46200000000000002</v>
      </c>
    </row>
    <row r="111" spans="1:32" ht="15.75" thickBot="1" x14ac:dyDescent="0.25">
      <c r="A111" s="10"/>
      <c r="B111" s="423"/>
      <c r="C111" s="423"/>
      <c r="D111" s="423"/>
      <c r="E111" s="423"/>
      <c r="F111" s="423"/>
      <c r="G111" s="423"/>
      <c r="H111" s="10"/>
      <c r="I111" s="10"/>
      <c r="X111" s="320" t="s">
        <v>360</v>
      </c>
      <c r="Y111">
        <v>492</v>
      </c>
      <c r="Z111" s="401">
        <f>VLOOKUP(Y111,$AB$9:$AF$161,5,FALSE)</f>
        <v>0.19400000000000001</v>
      </c>
      <c r="AB111" s="88">
        <v>210</v>
      </c>
      <c r="AC111" s="279" t="s">
        <v>169</v>
      </c>
      <c r="AD111" s="371">
        <v>31.8</v>
      </c>
      <c r="AE111" s="371">
        <v>32.74</v>
      </c>
      <c r="AF111" s="399">
        <v>1.18</v>
      </c>
    </row>
    <row r="112" spans="1:32" ht="15.75" customHeight="1" thickBot="1" x14ac:dyDescent="0.25">
      <c r="A112" s="10"/>
      <c r="B112" s="57"/>
      <c r="C112" s="338"/>
      <c r="D112" s="338"/>
      <c r="E112" s="57"/>
      <c r="F112" s="338"/>
      <c r="G112" s="338"/>
      <c r="H112" s="337"/>
      <c r="I112" s="10"/>
      <c r="X112" s="320" t="s">
        <v>361</v>
      </c>
      <c r="Y112">
        <v>493</v>
      </c>
      <c r="Z112" s="401">
        <f>VLOOKUP(Y112,$AB$9:$AF$161,5,FALSE)</f>
        <v>4.8000000000000001E-2</v>
      </c>
      <c r="AB112" s="88">
        <v>201</v>
      </c>
      <c r="AC112" s="281" t="s">
        <v>170</v>
      </c>
      <c r="AD112" s="371">
        <v>9.43</v>
      </c>
      <c r="AE112" s="371">
        <v>9.7100000000000009</v>
      </c>
      <c r="AF112" s="399">
        <v>0.1</v>
      </c>
    </row>
    <row r="113" spans="1:32" ht="15.75" thickBot="1" x14ac:dyDescent="0.25">
      <c r="A113" s="355"/>
      <c r="B113" s="361"/>
      <c r="C113" s="361"/>
      <c r="D113" s="362"/>
      <c r="E113" s="361"/>
      <c r="F113" s="361"/>
      <c r="G113" s="362"/>
      <c r="H113" s="362"/>
      <c r="I113" s="10"/>
      <c r="X113" s="320"/>
      <c r="Z113" s="401"/>
      <c r="AB113" s="83" t="s">
        <v>138</v>
      </c>
      <c r="AC113" s="277"/>
      <c r="AD113" s="383"/>
      <c r="AE113" s="383"/>
      <c r="AF113" s="400"/>
    </row>
    <row r="114" spans="1:32" ht="18.75" customHeight="1" thickBot="1" x14ac:dyDescent="0.25">
      <c r="A114" s="363"/>
      <c r="B114" s="361"/>
      <c r="C114" s="361"/>
      <c r="D114" s="362"/>
      <c r="E114" s="361"/>
      <c r="F114" s="361"/>
      <c r="G114" s="362"/>
      <c r="H114" s="362"/>
      <c r="I114" s="10"/>
      <c r="X114" s="320" t="s">
        <v>367</v>
      </c>
      <c r="Y114">
        <v>496</v>
      </c>
      <c r="Z114" s="401">
        <f>VLOOKUP(Y114,$AB$9:$AF$161,5,FALSE)</f>
        <v>7.0999999999999994E-2</v>
      </c>
      <c r="AC114" s="76" t="s">
        <v>91</v>
      </c>
      <c r="AD114" s="383"/>
      <c r="AE114" s="383"/>
      <c r="AF114" s="399"/>
    </row>
    <row r="115" spans="1:32" ht="15" x14ac:dyDescent="0.2">
      <c r="A115" s="355"/>
      <c r="B115" s="361"/>
      <c r="C115" s="361"/>
      <c r="D115" s="362"/>
      <c r="E115" s="361"/>
      <c r="F115" s="361"/>
      <c r="G115" s="362"/>
      <c r="H115" s="362"/>
      <c r="I115" s="10"/>
      <c r="X115" s="320" t="s">
        <v>368</v>
      </c>
      <c r="Y115">
        <v>497</v>
      </c>
      <c r="Z115" s="401">
        <f>VLOOKUP(Y115,$AB$9:$AF$161,5,FALSE)</f>
        <v>0.122</v>
      </c>
      <c r="AC115" s="78"/>
      <c r="AD115" s="265"/>
      <c r="AE115" s="265"/>
      <c r="AF115" s="399"/>
    </row>
    <row r="116" spans="1:32" ht="18.75" customHeight="1" thickBot="1" x14ac:dyDescent="0.25">
      <c r="A116" s="355"/>
      <c r="B116" s="361"/>
      <c r="C116" s="361"/>
      <c r="D116" s="362"/>
      <c r="E116" s="361"/>
      <c r="F116" s="361"/>
      <c r="G116" s="362"/>
      <c r="H116" s="362"/>
      <c r="I116" s="10"/>
      <c r="X116" s="320" t="s">
        <v>369</v>
      </c>
      <c r="Y116">
        <v>498</v>
      </c>
      <c r="Z116" s="401">
        <f>VLOOKUP(Y116,$AB$9:$AF$161,5,FALSE)</f>
        <v>0.19400000000000001</v>
      </c>
      <c r="AB116">
        <v>471</v>
      </c>
      <c r="AC116" s="62" t="s">
        <v>171</v>
      </c>
      <c r="AD116" s="384">
        <v>17.170000000000002</v>
      </c>
      <c r="AE116" s="384">
        <v>17.68</v>
      </c>
      <c r="AF116" s="399">
        <v>0.15</v>
      </c>
    </row>
    <row r="117" spans="1:32" ht="15.75" thickBot="1" x14ac:dyDescent="0.25">
      <c r="A117" s="355"/>
      <c r="B117" s="361"/>
      <c r="C117" s="361"/>
      <c r="D117" s="362"/>
      <c r="E117" s="361"/>
      <c r="F117" s="361"/>
      <c r="G117" s="362"/>
      <c r="H117" s="362"/>
      <c r="I117" s="10"/>
      <c r="X117" s="320" t="s">
        <v>370</v>
      </c>
      <c r="Y117">
        <v>499</v>
      </c>
      <c r="Z117" s="401">
        <f>VLOOKUP(Y117,$AB$9:$AF$161,5,FALSE)</f>
        <v>4.3999999999999997E-2</v>
      </c>
      <c r="AB117">
        <v>474</v>
      </c>
      <c r="AC117" s="63" t="s">
        <v>172</v>
      </c>
      <c r="AD117" s="385">
        <v>22.94</v>
      </c>
      <c r="AE117" s="385">
        <v>23.62</v>
      </c>
      <c r="AF117" s="399">
        <v>0.35</v>
      </c>
    </row>
    <row r="118" spans="1:32" ht="15" customHeight="1" thickBot="1" x14ac:dyDescent="0.25">
      <c r="A118" s="355"/>
      <c r="B118" s="361"/>
      <c r="C118" s="361"/>
      <c r="D118" s="362"/>
      <c r="E118" s="361"/>
      <c r="F118" s="361"/>
      <c r="G118" s="362"/>
      <c r="H118" s="362"/>
      <c r="I118" s="10"/>
      <c r="AB118">
        <v>475</v>
      </c>
      <c r="AC118" s="63" t="s">
        <v>173</v>
      </c>
      <c r="AD118" s="385">
        <v>30.4</v>
      </c>
      <c r="AE118" s="385">
        <v>31.3</v>
      </c>
      <c r="AF118" s="399">
        <v>0.35</v>
      </c>
    </row>
    <row r="119" spans="1:32" ht="15" x14ac:dyDescent="0.2">
      <c r="A119" s="355"/>
      <c r="B119" s="361"/>
      <c r="C119" s="361"/>
      <c r="D119" s="362"/>
      <c r="E119" s="361"/>
      <c r="F119" s="361"/>
      <c r="G119" s="362"/>
      <c r="H119" s="362"/>
      <c r="I119" s="10"/>
      <c r="AC119" s="421" t="s">
        <v>174</v>
      </c>
      <c r="AD119" s="386"/>
      <c r="AE119" s="386"/>
      <c r="AF119" s="399">
        <v>1.08</v>
      </c>
    </row>
    <row r="120" spans="1:32" ht="15.75" thickBot="1" x14ac:dyDescent="0.25">
      <c r="A120" s="355"/>
      <c r="B120" s="361"/>
      <c r="C120" s="361"/>
      <c r="D120" s="362"/>
      <c r="E120" s="361"/>
      <c r="F120" s="361"/>
      <c r="G120" s="362"/>
      <c r="H120" s="362"/>
      <c r="I120" s="10"/>
      <c r="AB120">
        <v>477</v>
      </c>
      <c r="AC120" s="422"/>
      <c r="AD120" s="384">
        <v>46.42</v>
      </c>
      <c r="AE120" s="384">
        <v>47.8</v>
      </c>
      <c r="AF120" s="399">
        <v>1.08</v>
      </c>
    </row>
    <row r="121" spans="1:32" ht="15.75" thickBot="1" x14ac:dyDescent="0.25">
      <c r="A121" s="355"/>
      <c r="B121" s="361"/>
      <c r="C121" s="361"/>
      <c r="D121" s="362"/>
      <c r="E121" s="361"/>
      <c r="F121" s="361"/>
      <c r="G121" s="362"/>
      <c r="H121" s="362"/>
      <c r="I121" s="10"/>
      <c r="AB121" t="s">
        <v>138</v>
      </c>
      <c r="AC121" s="59"/>
      <c r="AD121" s="387"/>
      <c r="AE121" s="387"/>
      <c r="AF121" s="399"/>
    </row>
    <row r="122" spans="1:32" ht="15" customHeight="1" thickBot="1" x14ac:dyDescent="0.25">
      <c r="A122" s="364"/>
      <c r="B122" s="359"/>
      <c r="C122" s="359"/>
      <c r="D122" s="360"/>
      <c r="E122" s="359"/>
      <c r="F122" s="359"/>
      <c r="G122" s="360"/>
      <c r="H122" s="360"/>
      <c r="I122" s="10"/>
      <c r="AC122" s="61" t="s">
        <v>89</v>
      </c>
      <c r="AD122" s="232"/>
      <c r="AE122" s="232"/>
      <c r="AF122" s="399"/>
    </row>
    <row r="123" spans="1:32" ht="15" customHeight="1" thickBot="1" x14ac:dyDescent="0.25">
      <c r="A123" s="193"/>
      <c r="B123" s="359"/>
      <c r="C123" s="359"/>
      <c r="D123" s="360"/>
      <c r="E123" s="359"/>
      <c r="F123" s="359"/>
      <c r="G123" s="360"/>
      <c r="H123" s="360"/>
      <c r="I123" s="10"/>
      <c r="AC123" s="76" t="s">
        <v>90</v>
      </c>
      <c r="AD123" s="232"/>
      <c r="AE123" s="232"/>
      <c r="AF123" s="399"/>
    </row>
    <row r="124" spans="1:32" ht="15" customHeight="1" x14ac:dyDescent="0.2">
      <c r="A124" s="355"/>
      <c r="B124" s="361"/>
      <c r="C124" s="361"/>
      <c r="D124" s="362"/>
      <c r="E124" s="361"/>
      <c r="F124" s="361"/>
      <c r="G124" s="362"/>
      <c r="H124" s="362"/>
      <c r="I124" s="10"/>
      <c r="AC124" s="62" t="s">
        <v>175</v>
      </c>
      <c r="AD124" s="388"/>
      <c r="AE124" s="388"/>
      <c r="AF124" s="399">
        <v>0.18099999999999999</v>
      </c>
    </row>
    <row r="125" spans="1:32" ht="30.75" thickBot="1" x14ac:dyDescent="0.25">
      <c r="A125" s="355"/>
      <c r="B125" s="361"/>
      <c r="C125" s="361"/>
      <c r="D125" s="362"/>
      <c r="E125" s="361"/>
      <c r="F125" s="361"/>
      <c r="G125" s="362"/>
      <c r="H125" s="362"/>
      <c r="I125" s="10"/>
      <c r="AB125">
        <v>275</v>
      </c>
      <c r="AC125" s="62" t="s">
        <v>176</v>
      </c>
      <c r="AD125" s="384">
        <v>27.64</v>
      </c>
      <c r="AE125" s="384">
        <v>28.46</v>
      </c>
      <c r="AF125" s="399">
        <v>0.18099999999999999</v>
      </c>
    </row>
    <row r="126" spans="1:32" ht="15" x14ac:dyDescent="0.2">
      <c r="A126" s="365"/>
      <c r="B126" s="361"/>
      <c r="C126" s="361"/>
      <c r="D126" s="362"/>
      <c r="E126" s="361"/>
      <c r="F126" s="361"/>
      <c r="G126" s="362"/>
      <c r="H126" s="362"/>
      <c r="I126" s="10"/>
      <c r="AC126" s="63" t="s">
        <v>177</v>
      </c>
      <c r="AD126" s="386"/>
      <c r="AE126" s="386"/>
      <c r="AF126" s="399">
        <v>0.29399999999999998</v>
      </c>
    </row>
    <row r="127" spans="1:32" ht="15" customHeight="1" thickBot="1" x14ac:dyDescent="0.25">
      <c r="A127" s="355"/>
      <c r="B127" s="362"/>
      <c r="C127" s="362"/>
      <c r="D127" s="10"/>
      <c r="E127" s="362"/>
      <c r="F127" s="362"/>
      <c r="G127" s="10"/>
      <c r="H127" s="10"/>
      <c r="I127" s="10"/>
      <c r="AB127">
        <v>266</v>
      </c>
      <c r="AC127" s="62" t="s">
        <v>176</v>
      </c>
      <c r="AD127" s="384">
        <v>30.35</v>
      </c>
      <c r="AE127" s="384">
        <v>31.25</v>
      </c>
      <c r="AF127" s="399">
        <v>0.29399999999999998</v>
      </c>
    </row>
    <row r="128" spans="1:32" ht="15" x14ac:dyDescent="0.2">
      <c r="A128" s="355"/>
      <c r="B128" s="362"/>
      <c r="C128" s="362"/>
      <c r="D128" s="366"/>
      <c r="E128" s="360"/>
      <c r="F128" s="360"/>
      <c r="G128" s="360"/>
      <c r="H128" s="362"/>
      <c r="I128" s="10"/>
      <c r="AC128" s="63" t="s">
        <v>178</v>
      </c>
      <c r="AD128" s="386"/>
      <c r="AE128" s="386"/>
      <c r="AF128" s="399">
        <v>0.47099999999999997</v>
      </c>
    </row>
    <row r="129" spans="1:32" ht="30.75" thickBot="1" x14ac:dyDescent="0.25">
      <c r="A129" s="355"/>
      <c r="B129" s="362"/>
      <c r="C129" s="362"/>
      <c r="D129" s="362"/>
      <c r="E129" s="362"/>
      <c r="F129" s="367"/>
      <c r="G129" s="10"/>
      <c r="H129" s="10"/>
      <c r="I129" s="10"/>
      <c r="AB129">
        <v>267</v>
      </c>
      <c r="AC129" s="62" t="s">
        <v>176</v>
      </c>
      <c r="AD129" s="384">
        <v>34.64</v>
      </c>
      <c r="AE129" s="384">
        <v>35.67</v>
      </c>
      <c r="AF129" s="399">
        <v>0.47099999999999997</v>
      </c>
    </row>
    <row r="130" spans="1:32" ht="15" x14ac:dyDescent="0.2">
      <c r="B130" s="100"/>
      <c r="C130" s="100"/>
      <c r="D130" s="100"/>
      <c r="E130" s="100"/>
      <c r="F130" s="100"/>
      <c r="AC130" s="63" t="s">
        <v>179</v>
      </c>
      <c r="AD130" s="386"/>
      <c r="AE130" s="386"/>
      <c r="AF130" s="399">
        <v>8.3000000000000004E-2</v>
      </c>
    </row>
    <row r="131" spans="1:32" ht="30.75" thickBot="1" x14ac:dyDescent="0.25">
      <c r="B131" s="100"/>
      <c r="C131" s="100"/>
      <c r="D131" s="100"/>
      <c r="E131" s="100"/>
      <c r="F131" s="100"/>
      <c r="AB131">
        <v>276</v>
      </c>
      <c r="AC131" s="62" t="s">
        <v>176</v>
      </c>
      <c r="AD131" s="384">
        <v>16.690000000000001</v>
      </c>
      <c r="AE131" s="384">
        <v>17.190000000000001</v>
      </c>
      <c r="AF131" s="399">
        <v>8.3000000000000004E-2</v>
      </c>
    </row>
    <row r="132" spans="1:32" ht="15" x14ac:dyDescent="0.2">
      <c r="B132" s="100"/>
      <c r="C132" s="100"/>
      <c r="D132" s="100"/>
      <c r="E132" s="100"/>
      <c r="F132" s="100"/>
      <c r="AC132" s="63" t="s">
        <v>180</v>
      </c>
      <c r="AD132" s="386"/>
      <c r="AE132" s="386"/>
      <c r="AF132" s="399">
        <v>0.11700000000000001</v>
      </c>
    </row>
    <row r="133" spans="1:32" ht="30.75" thickBot="1" x14ac:dyDescent="0.25">
      <c r="B133" s="100"/>
      <c r="C133" s="100"/>
      <c r="D133" s="100"/>
      <c r="E133" s="100"/>
      <c r="F133" s="100"/>
      <c r="AB133">
        <v>274</v>
      </c>
      <c r="AC133" s="62" t="s">
        <v>176</v>
      </c>
      <c r="AD133" s="384">
        <v>19.899999999999999</v>
      </c>
      <c r="AE133" s="384">
        <v>20.49</v>
      </c>
      <c r="AF133" s="399">
        <v>0.11700000000000001</v>
      </c>
    </row>
    <row r="134" spans="1:32" ht="15" x14ac:dyDescent="0.2">
      <c r="B134" s="100"/>
      <c r="C134" s="100"/>
      <c r="D134" s="100"/>
      <c r="E134" s="100"/>
      <c r="F134" s="100"/>
      <c r="AC134" s="63" t="s">
        <v>181</v>
      </c>
      <c r="AD134" s="386"/>
      <c r="AE134" s="386"/>
      <c r="AF134" s="399">
        <v>0.18099999999999999</v>
      </c>
    </row>
    <row r="135" spans="1:32" ht="30" x14ac:dyDescent="0.2">
      <c r="B135" s="100"/>
      <c r="C135" s="100"/>
      <c r="D135" s="100"/>
      <c r="E135" s="100"/>
      <c r="F135" s="100"/>
      <c r="AB135">
        <v>277</v>
      </c>
      <c r="AC135" s="62" t="s">
        <v>176</v>
      </c>
      <c r="AD135" s="384">
        <v>24.34</v>
      </c>
      <c r="AE135" s="384">
        <v>25.06</v>
      </c>
      <c r="AF135" s="399">
        <v>0.18099999999999999</v>
      </c>
    </row>
    <row r="136" spans="1:32" ht="15" x14ac:dyDescent="0.2">
      <c r="B136" s="100"/>
      <c r="C136" s="100"/>
      <c r="D136" s="100"/>
      <c r="E136" s="100"/>
      <c r="F136" s="100"/>
      <c r="AC136" s="62"/>
      <c r="AD136" s="389"/>
      <c r="AE136" s="389"/>
      <c r="AF136" s="399"/>
    </row>
    <row r="137" spans="1:32" ht="15.75" thickBot="1" x14ac:dyDescent="0.25">
      <c r="B137" s="100"/>
      <c r="C137" s="100"/>
      <c r="D137" s="100"/>
      <c r="E137" s="100"/>
      <c r="F137" s="100"/>
      <c r="AC137" s="62"/>
      <c r="AD137" s="389"/>
      <c r="AE137" s="389"/>
      <c r="AF137" s="399"/>
    </row>
    <row r="138" spans="1:32" ht="15.75" thickBot="1" x14ac:dyDescent="0.25">
      <c r="B138" s="100"/>
      <c r="C138" s="100"/>
      <c r="D138" s="100"/>
      <c r="E138" s="100"/>
      <c r="F138" s="100"/>
      <c r="AB138">
        <v>279</v>
      </c>
      <c r="AC138" s="63" t="s">
        <v>182</v>
      </c>
      <c r="AD138" s="385">
        <v>47.45</v>
      </c>
      <c r="AE138" s="385">
        <v>48.86</v>
      </c>
      <c r="AF138" s="399">
        <v>1</v>
      </c>
    </row>
    <row r="139" spans="1:32" ht="15" x14ac:dyDescent="0.2">
      <c r="B139" s="100"/>
      <c r="C139" s="100"/>
      <c r="D139" s="100"/>
      <c r="E139" s="100"/>
      <c r="F139" s="100"/>
      <c r="AC139" s="63" t="s">
        <v>183</v>
      </c>
      <c r="AD139" s="386"/>
      <c r="AE139" s="386"/>
      <c r="AF139" s="399">
        <v>1</v>
      </c>
    </row>
    <row r="140" spans="1:32" ht="30.75" thickBot="1" x14ac:dyDescent="0.25">
      <c r="B140" s="100"/>
      <c r="C140" s="100"/>
      <c r="D140" s="100"/>
      <c r="E140" s="100"/>
      <c r="F140" s="100"/>
      <c r="AB140">
        <v>278</v>
      </c>
      <c r="AC140" s="62" t="s">
        <v>176</v>
      </c>
      <c r="AD140" s="384">
        <v>78.58</v>
      </c>
      <c r="AE140" s="384">
        <v>80.91</v>
      </c>
      <c r="AF140" s="399">
        <v>1</v>
      </c>
    </row>
    <row r="141" spans="1:32" ht="15.75" thickBot="1" x14ac:dyDescent="0.25">
      <c r="B141" s="100"/>
      <c r="C141" s="100"/>
      <c r="D141" s="100"/>
      <c r="E141" s="100"/>
      <c r="F141" s="100"/>
      <c r="AB141">
        <v>417</v>
      </c>
      <c r="AC141" s="63" t="s">
        <v>184</v>
      </c>
      <c r="AD141" s="385">
        <v>26.21</v>
      </c>
      <c r="AE141" s="385">
        <v>27</v>
      </c>
      <c r="AF141" s="399">
        <v>0.11700000000000001</v>
      </c>
    </row>
    <row r="142" spans="1:32" ht="15.75" thickBot="1" x14ac:dyDescent="0.25">
      <c r="B142" s="100"/>
      <c r="C142" s="100"/>
      <c r="D142" s="100"/>
      <c r="E142" s="100"/>
      <c r="F142" s="100"/>
      <c r="AB142">
        <v>419</v>
      </c>
      <c r="AC142" s="63" t="s">
        <v>185</v>
      </c>
      <c r="AD142" s="385">
        <v>28.08</v>
      </c>
      <c r="AE142" s="385">
        <v>28.91</v>
      </c>
      <c r="AF142" s="399">
        <v>0.18</v>
      </c>
    </row>
    <row r="143" spans="1:32" ht="15.75" thickBot="1" x14ac:dyDescent="0.25">
      <c r="B143" s="100"/>
      <c r="C143" s="100"/>
      <c r="D143" s="100"/>
      <c r="E143" s="100"/>
      <c r="F143" s="100"/>
      <c r="AB143">
        <v>280</v>
      </c>
      <c r="AC143" s="63" t="s">
        <v>186</v>
      </c>
      <c r="AD143" s="385">
        <v>22.13</v>
      </c>
      <c r="AE143" s="385">
        <v>22.78</v>
      </c>
      <c r="AF143" s="399">
        <v>8.3000000000000004E-2</v>
      </c>
    </row>
    <row r="144" spans="1:32" ht="15.75" thickBot="1" x14ac:dyDescent="0.25">
      <c r="B144" s="100"/>
      <c r="C144" s="100"/>
      <c r="D144" s="100"/>
      <c r="E144" s="100"/>
      <c r="F144" s="100"/>
      <c r="AB144">
        <v>281</v>
      </c>
      <c r="AC144" s="63" t="s">
        <v>187</v>
      </c>
      <c r="AD144" s="385">
        <v>23.19</v>
      </c>
      <c r="AE144" s="385">
        <v>23.88</v>
      </c>
      <c r="AF144" s="399">
        <v>0.11700000000000001</v>
      </c>
    </row>
    <row r="145" spans="2:32" ht="15.75" thickBot="1" x14ac:dyDescent="0.25">
      <c r="B145" s="100"/>
      <c r="C145" s="100"/>
      <c r="D145" s="100"/>
      <c r="E145" s="100"/>
      <c r="F145" s="100"/>
      <c r="AB145">
        <v>282</v>
      </c>
      <c r="AC145" s="63" t="s">
        <v>188</v>
      </c>
      <c r="AD145" s="385">
        <v>22.29</v>
      </c>
      <c r="AE145" s="385">
        <v>22.95</v>
      </c>
      <c r="AF145" s="399">
        <v>8.3000000000000004E-2</v>
      </c>
    </row>
    <row r="146" spans="2:32" ht="15.75" thickBot="1" x14ac:dyDescent="0.25">
      <c r="B146" s="100"/>
      <c r="C146" s="100"/>
      <c r="D146" s="100"/>
      <c r="E146" s="100"/>
      <c r="F146" s="100"/>
      <c r="AB146">
        <v>283</v>
      </c>
      <c r="AC146" s="63" t="s">
        <v>189</v>
      </c>
      <c r="AD146" s="385">
        <v>23.69</v>
      </c>
      <c r="AE146" s="385">
        <v>24.39</v>
      </c>
      <c r="AF146" s="399">
        <v>0.11700000000000001</v>
      </c>
    </row>
    <row r="147" spans="2:32" ht="15.75" thickBot="1" x14ac:dyDescent="0.25">
      <c r="B147" s="100"/>
      <c r="C147" s="100"/>
      <c r="D147" s="100"/>
      <c r="E147" s="100"/>
      <c r="F147" s="100"/>
      <c r="AB147">
        <v>426</v>
      </c>
      <c r="AC147" s="63" t="s">
        <v>190</v>
      </c>
      <c r="AD147" s="385">
        <v>35.94</v>
      </c>
      <c r="AE147" s="385">
        <v>37.01</v>
      </c>
      <c r="AF147" s="399">
        <v>8.3000000000000004E-2</v>
      </c>
    </row>
    <row r="148" spans="2:32" ht="15.75" thickBot="1" x14ac:dyDescent="0.25">
      <c r="B148" s="100"/>
      <c r="C148" s="100"/>
      <c r="D148" s="100"/>
      <c r="E148" s="100"/>
      <c r="F148" s="100"/>
      <c r="AB148">
        <v>428</v>
      </c>
      <c r="AC148" s="63" t="s">
        <v>191</v>
      </c>
      <c r="AD148" s="385">
        <v>36.89</v>
      </c>
      <c r="AE148" s="385">
        <v>37.99</v>
      </c>
      <c r="AF148" s="399">
        <v>0.11700000000000001</v>
      </c>
    </row>
    <row r="149" spans="2:32" ht="15.75" thickBot="1" x14ac:dyDescent="0.25">
      <c r="B149" s="100"/>
      <c r="C149" s="100"/>
      <c r="D149" s="100"/>
      <c r="E149" s="100"/>
      <c r="F149" s="100"/>
      <c r="AB149">
        <v>430</v>
      </c>
      <c r="AC149" s="63" t="s">
        <v>192</v>
      </c>
      <c r="AD149" s="385">
        <v>34.96</v>
      </c>
      <c r="AE149" s="385">
        <v>36</v>
      </c>
      <c r="AF149" s="399">
        <v>8.3000000000000004E-2</v>
      </c>
    </row>
    <row r="150" spans="2:32" ht="15.75" thickBot="1" x14ac:dyDescent="0.25">
      <c r="B150" s="100"/>
      <c r="C150" s="100"/>
      <c r="D150" s="100"/>
      <c r="E150" s="100"/>
      <c r="F150" s="100"/>
      <c r="AB150">
        <v>432</v>
      </c>
      <c r="AC150" s="63" t="s">
        <v>193</v>
      </c>
      <c r="AD150" s="385">
        <v>37.130000000000003</v>
      </c>
      <c r="AE150" s="385">
        <v>38.229999999999997</v>
      </c>
      <c r="AF150" s="399">
        <v>0.11700000000000001</v>
      </c>
    </row>
    <row r="151" spans="2:32" ht="15.75" thickBot="1" x14ac:dyDescent="0.25">
      <c r="B151" s="100"/>
      <c r="C151" s="100"/>
      <c r="D151" s="100"/>
      <c r="E151" s="100"/>
      <c r="F151" s="100"/>
      <c r="AB151" t="s">
        <v>138</v>
      </c>
      <c r="AC151" s="64"/>
      <c r="AD151" s="390"/>
      <c r="AE151" s="390"/>
      <c r="AF151" s="399"/>
    </row>
    <row r="152" spans="2:32" ht="15.75" thickBot="1" x14ac:dyDescent="0.25">
      <c r="B152" s="100"/>
      <c r="C152" s="100"/>
      <c r="D152" s="100"/>
      <c r="E152" s="100"/>
      <c r="F152" s="100"/>
      <c r="AC152" s="60" t="s">
        <v>92</v>
      </c>
      <c r="AD152" s="391"/>
      <c r="AE152" s="391"/>
      <c r="AF152" s="399"/>
    </row>
    <row r="153" spans="2:32" ht="15.75" thickBot="1" x14ac:dyDescent="0.25">
      <c r="B153" s="100"/>
      <c r="C153" s="100"/>
      <c r="D153" s="100"/>
      <c r="E153" s="100"/>
      <c r="F153" s="100"/>
      <c r="AB153">
        <v>318</v>
      </c>
      <c r="AC153" s="62" t="s">
        <v>194</v>
      </c>
      <c r="AD153" s="384">
        <v>18.91</v>
      </c>
      <c r="AE153" s="384">
        <v>19.47</v>
      </c>
      <c r="AF153" s="399">
        <v>0.21</v>
      </c>
    </row>
    <row r="154" spans="2:32" ht="15.75" thickBot="1" x14ac:dyDescent="0.25">
      <c r="B154" s="100"/>
      <c r="C154" s="100"/>
      <c r="D154" s="100"/>
      <c r="E154" s="100"/>
      <c r="F154" s="100"/>
      <c r="AB154">
        <v>314</v>
      </c>
      <c r="AC154" s="63" t="s">
        <v>195</v>
      </c>
      <c r="AD154" s="385">
        <v>20.8</v>
      </c>
      <c r="AE154" s="385">
        <v>21.43</v>
      </c>
      <c r="AF154" s="399">
        <v>0.29799999999999999</v>
      </c>
    </row>
    <row r="155" spans="2:32" ht="15.75" thickBot="1" x14ac:dyDescent="0.25">
      <c r="B155" s="100"/>
      <c r="C155" s="100"/>
      <c r="D155" s="100"/>
      <c r="E155" s="100"/>
      <c r="F155" s="100"/>
      <c r="AB155">
        <v>315</v>
      </c>
      <c r="AC155" s="63" t="s">
        <v>196</v>
      </c>
      <c r="AD155" s="385">
        <v>24.79</v>
      </c>
      <c r="AE155" s="385">
        <v>25.53</v>
      </c>
      <c r="AF155" s="399">
        <v>0.46200000000000002</v>
      </c>
    </row>
    <row r="156" spans="2:32" ht="15.75" thickBot="1" x14ac:dyDescent="0.25">
      <c r="B156" s="100"/>
      <c r="C156" s="100"/>
      <c r="D156" s="100"/>
      <c r="E156" s="100"/>
      <c r="F156" s="100"/>
      <c r="AB156">
        <v>206</v>
      </c>
      <c r="AC156" s="63" t="s">
        <v>197</v>
      </c>
      <c r="AD156" s="385">
        <v>13.85</v>
      </c>
      <c r="AE156" s="385">
        <v>14.26</v>
      </c>
      <c r="AF156" s="399">
        <v>0.1</v>
      </c>
    </row>
    <row r="157" spans="2:32" ht="15.75" thickBot="1" x14ac:dyDescent="0.25">
      <c r="B157" s="100"/>
      <c r="C157" s="100"/>
      <c r="D157" s="100"/>
      <c r="E157" s="100"/>
      <c r="F157" s="100"/>
      <c r="AB157">
        <v>208</v>
      </c>
      <c r="AC157" s="63" t="s">
        <v>198</v>
      </c>
      <c r="AD157" s="385">
        <v>15.66</v>
      </c>
      <c r="AE157" s="385">
        <v>16.13</v>
      </c>
      <c r="AF157" s="399">
        <v>0.21</v>
      </c>
    </row>
    <row r="158" spans="2:32" ht="15.75" thickBot="1" x14ac:dyDescent="0.25">
      <c r="B158" s="100"/>
      <c r="C158" s="100"/>
      <c r="D158" s="100"/>
      <c r="E158" s="100"/>
      <c r="F158" s="100"/>
      <c r="AB158" t="s">
        <v>138</v>
      </c>
      <c r="AC158" s="64"/>
      <c r="AD158" s="390"/>
      <c r="AE158" s="390"/>
      <c r="AF158" s="399"/>
    </row>
    <row r="159" spans="2:32" ht="15.75" thickBot="1" x14ac:dyDescent="0.25">
      <c r="B159" s="100"/>
      <c r="C159" s="100"/>
      <c r="D159" s="100"/>
      <c r="E159" s="100"/>
      <c r="F159" s="100"/>
      <c r="AC159" s="61" t="s">
        <v>93</v>
      </c>
      <c r="AD159" s="391"/>
      <c r="AE159" s="391"/>
      <c r="AF159" s="399"/>
    </row>
    <row r="160" spans="2:32" ht="15.75" thickBot="1" x14ac:dyDescent="0.25">
      <c r="B160" s="100"/>
      <c r="C160" s="100"/>
      <c r="D160" s="100"/>
      <c r="E160" s="100"/>
      <c r="F160" s="100"/>
      <c r="AB160">
        <v>349</v>
      </c>
      <c r="AC160" s="60" t="s">
        <v>199</v>
      </c>
      <c r="AD160" s="392">
        <v>9.9600000000000009</v>
      </c>
      <c r="AE160" s="392">
        <v>10.26</v>
      </c>
      <c r="AF160" s="399">
        <v>0.10199999999999999</v>
      </c>
    </row>
    <row r="161" spans="2:32" ht="15.75" thickBot="1" x14ac:dyDescent="0.25">
      <c r="B161" s="100"/>
      <c r="C161" s="100"/>
      <c r="D161" s="100"/>
      <c r="E161" s="100"/>
      <c r="F161" s="100"/>
      <c r="AB161">
        <v>348</v>
      </c>
      <c r="AC161" s="74" t="s">
        <v>200</v>
      </c>
      <c r="AD161" s="393">
        <v>14.2</v>
      </c>
      <c r="AE161" s="393">
        <v>14.62</v>
      </c>
      <c r="AF161" s="399">
        <v>0.44700000000000001</v>
      </c>
    </row>
    <row r="162" spans="2:32" x14ac:dyDescent="0.2">
      <c r="B162" s="100"/>
      <c r="C162" s="100"/>
      <c r="D162" s="100"/>
      <c r="E162" s="100"/>
      <c r="F162" s="100"/>
      <c r="AE162" s="17"/>
    </row>
    <row r="163" spans="2:32" x14ac:dyDescent="0.2">
      <c r="B163" s="100"/>
      <c r="C163" s="100"/>
      <c r="D163" s="100"/>
      <c r="E163" s="100"/>
      <c r="F163" s="100"/>
      <c r="AE163" s="17"/>
    </row>
    <row r="164" spans="2:32" x14ac:dyDescent="0.2">
      <c r="B164" s="100"/>
      <c r="C164" s="100"/>
      <c r="D164" s="100"/>
      <c r="E164" s="100"/>
      <c r="F164" s="100"/>
      <c r="AE164" s="17"/>
    </row>
    <row r="165" spans="2:32" x14ac:dyDescent="0.2">
      <c r="B165" s="100"/>
      <c r="C165" s="100"/>
      <c r="D165" s="100"/>
      <c r="E165" s="100"/>
      <c r="F165" s="100"/>
      <c r="AE165" s="17"/>
    </row>
    <row r="166" spans="2:32" x14ac:dyDescent="0.2">
      <c r="B166" s="100"/>
      <c r="C166" s="100"/>
      <c r="D166" s="100"/>
      <c r="E166" s="100"/>
      <c r="F166" s="100"/>
      <c r="AE166" s="17"/>
    </row>
    <row r="167" spans="2:32" x14ac:dyDescent="0.2">
      <c r="B167" s="100"/>
      <c r="C167" s="100"/>
      <c r="D167" s="100"/>
      <c r="E167" s="100"/>
      <c r="F167" s="100"/>
      <c r="AE167" s="17"/>
    </row>
    <row r="168" spans="2:32" x14ac:dyDescent="0.2">
      <c r="B168" s="100"/>
      <c r="C168" s="100"/>
      <c r="D168" s="100"/>
      <c r="E168" s="100"/>
      <c r="F168" s="100"/>
      <c r="AE168" s="17"/>
    </row>
    <row r="169" spans="2:32" x14ac:dyDescent="0.2">
      <c r="AE169" s="17"/>
    </row>
    <row r="170" spans="2:32" x14ac:dyDescent="0.2">
      <c r="AE170" s="17"/>
    </row>
  </sheetData>
  <mergeCells count="3">
    <mergeCell ref="AC119:AC120"/>
    <mergeCell ref="B111:D111"/>
    <mergeCell ref="E111:G111"/>
  </mergeCells>
  <phoneticPr fontId="5" type="noConversion"/>
  <pageMargins left="0.75" right="0.75" top="1" bottom="1" header="0.5" footer="0.5"/>
  <pageSetup paperSize="3" scale="5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45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8.140625" customWidth="1"/>
    <col min="2" max="2" width="2.140625" customWidth="1"/>
    <col min="3" max="3" width="7.28515625" bestFit="1" customWidth="1"/>
    <col min="4" max="4" width="2.5703125" customWidth="1"/>
    <col min="5" max="5" width="9.85546875" bestFit="1" customWidth="1"/>
    <col min="6" max="6" width="3" customWidth="1"/>
    <col min="7" max="8" width="12.28515625" bestFit="1" customWidth="1"/>
    <col min="9" max="9" width="13" bestFit="1" customWidth="1"/>
    <col min="10" max="10" width="9.28515625" bestFit="1" customWidth="1"/>
    <col min="11" max="11" width="12" bestFit="1" customWidth="1"/>
    <col min="12" max="12" width="11.28515625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20" width="10.85546875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429" t="str">
        <f>+'Rate Case Constants'!C9</f>
        <v>LOUISVILLE GAS AND ELECTRIC COMPANY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42" x14ac:dyDescent="0.2">
      <c r="A2" s="429" t="str">
        <f>+'Rate Case Constants'!C10</f>
        <v>CASE NO. 2018-00295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42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42" x14ac:dyDescent="0.2">
      <c r="A4" s="429" t="str">
        <f>+'Rate Case Constants'!C21</f>
        <v>FORECAST PERIOD FOR THE 12 MONTHS ENDED APRIL 30, 2020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42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42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42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 t="str">
        <f>+'Rate Case Constants'!C25</f>
        <v>SCHEDULE N</v>
      </c>
    </row>
    <row r="8" spans="1:42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/>
      <c r="M8" s="249"/>
      <c r="N8" s="249"/>
      <c r="O8" s="249"/>
      <c r="P8" s="251" t="str">
        <f>+'Rate Case Constants'!L30</f>
        <v>PAGE 23 of 26</v>
      </c>
    </row>
    <row r="9" spans="1:42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1" t="str">
        <f>+'Rate Case Constants'!C36</f>
        <v>WITNESS:   R. M. CONROY</v>
      </c>
    </row>
    <row r="10" spans="1:42" x14ac:dyDescent="0.2">
      <c r="A10" s="24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S10" s="83" t="s">
        <v>70</v>
      </c>
      <c r="T10">
        <f>INPUT!G67</f>
        <v>-5.8334251225944139E-4</v>
      </c>
    </row>
    <row r="11" spans="1:42" x14ac:dyDescent="0.2">
      <c r="A11" s="182" t="s">
        <v>388</v>
      </c>
      <c r="B11" s="2"/>
      <c r="C11" s="2"/>
      <c r="S11" s="83" t="s">
        <v>72</v>
      </c>
      <c r="T11">
        <f>INPUT!H67</f>
        <v>4.1667322304245819E-5</v>
      </c>
    </row>
    <row r="12" spans="1:42" x14ac:dyDescent="0.2">
      <c r="B12" s="2"/>
      <c r="C12" s="2"/>
      <c r="S12" s="83" t="s">
        <v>71</v>
      </c>
      <c r="T12">
        <f>INPUT!I67</f>
        <v>1.7500275367783242E-3</v>
      </c>
    </row>
    <row r="13" spans="1:42" x14ac:dyDescent="0.2">
      <c r="A13" s="44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Y13" s="323" t="s">
        <v>71</v>
      </c>
      <c r="Z13" s="323"/>
      <c r="AG13" s="30"/>
      <c r="AH13" s="323" t="s">
        <v>71</v>
      </c>
      <c r="AI13" s="30"/>
      <c r="AJ13" s="30"/>
      <c r="AK13" s="30"/>
      <c r="AL13" s="30"/>
      <c r="AM13" s="30"/>
      <c r="AN13" s="30"/>
      <c r="AO13" s="30"/>
      <c r="AP13" s="30"/>
    </row>
    <row r="14" spans="1:42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23" t="s">
        <v>1</v>
      </c>
      <c r="T14" s="323" t="s">
        <v>1</v>
      </c>
      <c r="U14" s="323" t="s">
        <v>1</v>
      </c>
      <c r="W14" s="323" t="s">
        <v>1</v>
      </c>
      <c r="Y14" s="323" t="s">
        <v>1</v>
      </c>
      <c r="Z14" s="323"/>
      <c r="AB14" s="323" t="s">
        <v>9</v>
      </c>
      <c r="AC14" s="323" t="s">
        <v>9</v>
      </c>
      <c r="AD14" s="21" t="s">
        <v>9</v>
      </c>
      <c r="AE14" s="20"/>
      <c r="AF14" s="21" t="s">
        <v>9</v>
      </c>
      <c r="AG14" s="20"/>
      <c r="AH14" s="323" t="s">
        <v>1</v>
      </c>
      <c r="AI14" s="20"/>
      <c r="AK14" s="30"/>
      <c r="AM14" s="30"/>
      <c r="AN14" s="30"/>
    </row>
    <row r="15" spans="1:42" x14ac:dyDescent="0.2">
      <c r="C15" s="323" t="s">
        <v>27</v>
      </c>
      <c r="E15" s="323"/>
      <c r="F15" s="323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23"/>
      <c r="R15" s="323"/>
      <c r="S15" s="323" t="s">
        <v>2</v>
      </c>
      <c r="T15" s="323" t="s">
        <v>57</v>
      </c>
      <c r="U15" s="323" t="s">
        <v>28</v>
      </c>
      <c r="V15" s="323"/>
      <c r="W15" s="323" t="s">
        <v>5</v>
      </c>
      <c r="Y15" s="323" t="s">
        <v>75</v>
      </c>
      <c r="Z15" s="323"/>
      <c r="AB15" s="26" t="s">
        <v>56</v>
      </c>
      <c r="AC15" s="323" t="s">
        <v>57</v>
      </c>
      <c r="AD15" s="22" t="s">
        <v>18</v>
      </c>
      <c r="AE15" s="21"/>
      <c r="AF15" s="21" t="s">
        <v>5</v>
      </c>
      <c r="AG15" s="23"/>
      <c r="AH15" s="323" t="s">
        <v>75</v>
      </c>
      <c r="AI15" s="21" t="s">
        <v>6</v>
      </c>
      <c r="AJ15" s="323" t="s">
        <v>8</v>
      </c>
      <c r="AK15" s="47"/>
      <c r="AL15" s="47"/>
      <c r="AM15" s="46"/>
      <c r="AN15" s="46"/>
      <c r="AO15" s="46"/>
      <c r="AP15" s="46"/>
    </row>
    <row r="16" spans="1:42" x14ac:dyDescent="0.2">
      <c r="A16" s="323" t="s">
        <v>52</v>
      </c>
      <c r="C16" s="323" t="s">
        <v>24</v>
      </c>
      <c r="E16" s="323" t="s">
        <v>51</v>
      </c>
      <c r="F16" s="323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23"/>
      <c r="R16" s="323"/>
      <c r="S16" s="26" t="s">
        <v>3</v>
      </c>
      <c r="T16" s="323" t="s">
        <v>3</v>
      </c>
      <c r="U16" s="323" t="s">
        <v>58</v>
      </c>
      <c r="V16" s="323"/>
      <c r="W16" s="323" t="s">
        <v>4</v>
      </c>
      <c r="Y16" s="323" t="s">
        <v>3</v>
      </c>
      <c r="Z16" s="323"/>
      <c r="AB16" s="26" t="s">
        <v>3</v>
      </c>
      <c r="AC16" s="323" t="s">
        <v>3</v>
      </c>
      <c r="AD16" s="22" t="s">
        <v>55</v>
      </c>
      <c r="AE16" s="21"/>
      <c r="AF16" s="21" t="s">
        <v>4</v>
      </c>
      <c r="AG16" s="23"/>
      <c r="AH16" s="323" t="s">
        <v>3</v>
      </c>
      <c r="AI16" s="21" t="s">
        <v>7</v>
      </c>
      <c r="AJ16" s="323" t="s">
        <v>7</v>
      </c>
      <c r="AL16" s="30"/>
      <c r="AM16" s="30"/>
      <c r="AN16" s="30"/>
      <c r="AO16" s="30"/>
      <c r="AP16" s="30"/>
    </row>
    <row r="17" spans="1:41" x14ac:dyDescent="0.2">
      <c r="A17" s="323"/>
      <c r="C17" s="323"/>
      <c r="E17" s="323"/>
      <c r="F17" s="323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23"/>
      <c r="R17" s="323"/>
      <c r="S17" s="26"/>
      <c r="T17" s="42">
        <f>+INPUT!$Q$6</f>
        <v>3.773E-2</v>
      </c>
      <c r="U17" s="45">
        <f>INPUT!Q14</f>
        <v>15.57</v>
      </c>
      <c r="V17" s="44" t="s">
        <v>505</v>
      </c>
      <c r="W17" s="323"/>
      <c r="Y17" s="42"/>
      <c r="Z17" s="42"/>
      <c r="AB17" s="26"/>
      <c r="AC17" s="42">
        <f>+INPUT!$Q$28</f>
        <v>3.3059999999999999E-2</v>
      </c>
      <c r="AD17" s="45">
        <f>INPUT!Q35</f>
        <v>22.52</v>
      </c>
      <c r="AE17" s="44" t="s">
        <v>505</v>
      </c>
      <c r="AF17" s="21"/>
      <c r="AG17" s="23"/>
      <c r="AH17" s="42"/>
      <c r="AI17" s="21"/>
      <c r="AJ17" s="323"/>
      <c r="AM17" s="30"/>
      <c r="AN17" s="46"/>
      <c r="AO17" s="30"/>
    </row>
    <row r="18" spans="1:41" x14ac:dyDescent="0.2">
      <c r="A18" s="80"/>
      <c r="B18" s="16"/>
      <c r="C18" s="80"/>
      <c r="D18" s="16"/>
      <c r="E18" s="80"/>
      <c r="F18" s="80"/>
      <c r="G18" s="321"/>
      <c r="H18" s="321"/>
      <c r="I18" s="321" t="str">
        <f>("[ "&amp;H13&amp;" - "&amp;G13&amp;" ]")</f>
        <v>[ B - A ]</v>
      </c>
      <c r="J18" s="321" t="str">
        <f>("[ "&amp;I13&amp;" / "&amp;G13&amp;" ]")</f>
        <v>[ C / A ]</v>
      </c>
      <c r="K18" s="262"/>
      <c r="L18" s="262"/>
      <c r="M18" s="262"/>
      <c r="N18" s="321" t="str">
        <f>("["&amp;G13&amp;"+"&amp;$K$13&amp;"+"&amp;$L$13&amp;"+"&amp;$M$13&amp;"]")</f>
        <v>[A+E+F+G]</v>
      </c>
      <c r="O18" s="321" t="str">
        <f>("["&amp;H13&amp;"+"&amp;$K$13&amp;"+"&amp;$L$13&amp;"+"&amp;$M$13&amp;"]")</f>
        <v>[B+E+F+G]</v>
      </c>
      <c r="P18" s="321" t="str">
        <f>("[("&amp;O13&amp;" - "&amp;N13&amp;")/"&amp;N13&amp;"]")</f>
        <v>[(I - H)/H]</v>
      </c>
      <c r="Q18" s="323"/>
      <c r="R18" s="323"/>
      <c r="S18" s="26"/>
      <c r="T18" s="323" t="s">
        <v>14</v>
      </c>
      <c r="U18" s="45">
        <f>INPUT!Q16</f>
        <v>4.8899999999999997</v>
      </c>
      <c r="V18" s="44" t="s">
        <v>506</v>
      </c>
      <c r="W18" s="323"/>
      <c r="Y18" s="323" t="s">
        <v>14</v>
      </c>
      <c r="Z18" s="323"/>
      <c r="AB18" s="26"/>
      <c r="AC18" s="323" t="s">
        <v>14</v>
      </c>
      <c r="AD18" s="45">
        <f>INPUT!Q37</f>
        <v>4.8899999999999997</v>
      </c>
      <c r="AE18" s="44" t="s">
        <v>506</v>
      </c>
      <c r="AF18" s="21"/>
      <c r="AG18" s="23"/>
      <c r="AH18" s="323" t="s">
        <v>14</v>
      </c>
      <c r="AI18" s="21"/>
      <c r="AJ18" s="323"/>
    </row>
    <row r="19" spans="1:41" x14ac:dyDescent="0.2">
      <c r="A19" s="323"/>
      <c r="E19" s="323"/>
      <c r="F19" s="323"/>
      <c r="G19" s="323"/>
      <c r="H19" s="323"/>
      <c r="I19" s="164"/>
      <c r="J19" s="164"/>
      <c r="K19" s="323"/>
      <c r="L19" s="323"/>
      <c r="M19" s="323"/>
      <c r="N19" s="164"/>
      <c r="O19" s="323"/>
      <c r="P19" s="164"/>
      <c r="Q19" s="323"/>
      <c r="R19" s="323"/>
      <c r="T19" s="323"/>
      <c r="U19" s="323"/>
      <c r="V19" s="323"/>
      <c r="W19" s="323"/>
      <c r="Y19" s="323"/>
      <c r="Z19" s="323"/>
      <c r="AC19" s="21"/>
      <c r="AD19" s="21"/>
      <c r="AE19" s="21"/>
      <c r="AF19" s="21"/>
      <c r="AG19" s="20"/>
      <c r="AH19" s="21"/>
      <c r="AI19" s="20"/>
    </row>
    <row r="20" spans="1:41" x14ac:dyDescent="0.2">
      <c r="A20" s="1">
        <v>2</v>
      </c>
      <c r="C20" s="13">
        <v>0.3</v>
      </c>
      <c r="E20" s="1">
        <f>C20*($A$20*730)</f>
        <v>438</v>
      </c>
      <c r="G20" s="29">
        <f>+W20</f>
        <v>405.45573999999999</v>
      </c>
      <c r="H20" s="29">
        <f>+AF20</f>
        <v>417.40528</v>
      </c>
      <c r="I20" s="29">
        <f>+H20-G20</f>
        <v>11.949540000000013</v>
      </c>
      <c r="J20" s="54">
        <f>ROUND(+I20/G20,4)</f>
        <v>2.9499999999999998E-2</v>
      </c>
      <c r="K20" s="29">
        <f>ROUND($T$10*$E20,2)</f>
        <v>-0.26</v>
      </c>
      <c r="L20" s="29">
        <f>ROUND($T$11*$E20,2)</f>
        <v>0.02</v>
      </c>
      <c r="M20" s="29">
        <f>ROUND($T$12*$E20,2)</f>
        <v>0.77</v>
      </c>
      <c r="N20" s="29">
        <f>+G20+K20+L20+M20</f>
        <v>405.98573999999996</v>
      </c>
      <c r="O20" s="29">
        <f>+H20+K20+L20+M20</f>
        <v>417.93527999999998</v>
      </c>
      <c r="P20" s="54">
        <f>(O20-N20)/N20</f>
        <v>2.9433398325763891E-2</v>
      </c>
      <c r="S20" s="7">
        <f>+INPUT!$Q$4</f>
        <v>90</v>
      </c>
      <c r="T20" s="20">
        <f>$T$17*E20</f>
        <v>16.525739999999999</v>
      </c>
      <c r="U20" s="406">
        <f>ROUND((($A$20*$U$17)+($A$20*(1506/55)*$U$18)),2)</f>
        <v>298.93</v>
      </c>
      <c r="V20" s="20"/>
      <c r="W20" s="20">
        <f>S20+T20+U20</f>
        <v>405.45573999999999</v>
      </c>
      <c r="X20" s="20"/>
      <c r="Y20" s="20"/>
      <c r="Z20" s="20"/>
      <c r="AA20" s="20"/>
      <c r="AB20" s="7">
        <f>INPUT!$Q$26</f>
        <v>90.095000000000013</v>
      </c>
      <c r="AC20" s="20">
        <f>$AC$17*E20</f>
        <v>14.48028</v>
      </c>
      <c r="AD20" s="406">
        <f>ROUND((($A$20*$AD$17)+($A$20*(1506/55)*$AD$18)),2)</f>
        <v>312.83</v>
      </c>
      <c r="AE20" s="20"/>
      <c r="AF20" s="20">
        <f>AB20+AC20+AD20</f>
        <v>417.40528</v>
      </c>
      <c r="AG20" s="20"/>
      <c r="AH20" s="20"/>
      <c r="AI20" s="19">
        <f>AF20-W20</f>
        <v>11.949540000000013</v>
      </c>
      <c r="AJ20" s="18">
        <f>AF20/W20-1</f>
        <v>2.947187281156749E-2</v>
      </c>
    </row>
    <row r="21" spans="1:41" x14ac:dyDescent="0.2">
      <c r="A21" s="1"/>
      <c r="C21" s="13">
        <v>0.5</v>
      </c>
      <c r="E21" s="1">
        <f>C21*($A$20*730)</f>
        <v>730</v>
      </c>
      <c r="G21" s="29">
        <f>+W21</f>
        <v>416.47289999999998</v>
      </c>
      <c r="H21" s="29">
        <f>+AF21</f>
        <v>427.05880000000002</v>
      </c>
      <c r="I21" s="29">
        <f>+H21-G21</f>
        <v>10.585900000000038</v>
      </c>
      <c r="J21" s="54">
        <f>ROUND(+I21/G21,4)</f>
        <v>2.5399999999999999E-2</v>
      </c>
      <c r="K21" s="29">
        <f>ROUND($T$10*$E21,2)</f>
        <v>-0.43</v>
      </c>
      <c r="L21" s="29">
        <f>ROUND($T$11*$E21,2)</f>
        <v>0.03</v>
      </c>
      <c r="M21" s="29">
        <f>ROUND($T$12*$E21,2)</f>
        <v>1.28</v>
      </c>
      <c r="N21" s="29">
        <f>+G21+K21+L21+M21</f>
        <v>417.35289999999992</v>
      </c>
      <c r="O21" s="29">
        <f>+H21+K21+L21+M21</f>
        <v>427.93879999999996</v>
      </c>
      <c r="P21" s="54">
        <f>(O21-N21)/N21</f>
        <v>2.5364385871045919E-2</v>
      </c>
      <c r="S21" s="7">
        <f>$S$20</f>
        <v>90</v>
      </c>
      <c r="T21" s="20">
        <f>$T$17*E21</f>
        <v>27.542899999999999</v>
      </c>
      <c r="U21" s="406">
        <f>ROUND((($A$20*$U$17)+($A$20*(1506/55)*$U$18)),2)</f>
        <v>298.93</v>
      </c>
      <c r="V21" s="20"/>
      <c r="W21" s="20">
        <f>S21+T21+U21</f>
        <v>416.47289999999998</v>
      </c>
      <c r="X21" s="20"/>
      <c r="Y21" s="20"/>
      <c r="Z21" s="20"/>
      <c r="AA21" s="20"/>
      <c r="AB21" s="7">
        <f>AB$20</f>
        <v>90.095000000000013</v>
      </c>
      <c r="AC21" s="20">
        <f>$AC$17*E21</f>
        <v>24.133800000000001</v>
      </c>
      <c r="AD21" s="406">
        <f t="shared" ref="AD21:AD22" si="0">ROUND((($A$20*$AD$17)+($A$20*(1506/55)*$AD$18)),2)</f>
        <v>312.83</v>
      </c>
      <c r="AE21" s="20"/>
      <c r="AF21" s="20">
        <f>AB21+AC21+AD21</f>
        <v>427.05880000000002</v>
      </c>
      <c r="AG21" s="20"/>
      <c r="AH21" s="20"/>
      <c r="AI21" s="19">
        <f>AF21-W21</f>
        <v>10.585900000000038</v>
      </c>
      <c r="AJ21" s="18">
        <f>AF21/W21-1</f>
        <v>2.5417980377594906E-2</v>
      </c>
    </row>
    <row r="22" spans="1:41" x14ac:dyDescent="0.2">
      <c r="A22" s="1"/>
      <c r="C22" s="13">
        <v>0.7</v>
      </c>
      <c r="E22" s="1">
        <f>C22*($A$20*730)</f>
        <v>1021.9999999999999</v>
      </c>
      <c r="G22" s="29">
        <f>+W22</f>
        <v>427.49005999999997</v>
      </c>
      <c r="H22" s="29">
        <f>+AF22</f>
        <v>436.71231999999998</v>
      </c>
      <c r="I22" s="29">
        <f>+H22-G22</f>
        <v>9.2222600000000057</v>
      </c>
      <c r="J22" s="54">
        <f>ROUND(+I22/G22,4)</f>
        <v>2.1600000000000001E-2</v>
      </c>
      <c r="K22" s="29">
        <f>ROUND($T$10*$E22,2)</f>
        <v>-0.6</v>
      </c>
      <c r="L22" s="29">
        <f>ROUND($T$11*$E22,2)</f>
        <v>0.04</v>
      </c>
      <c r="M22" s="29">
        <f>ROUND($T$12*$E22,2)</f>
        <v>1.79</v>
      </c>
      <c r="N22" s="29">
        <f>+G22+K22+L22+M22</f>
        <v>428.72005999999999</v>
      </c>
      <c r="O22" s="29">
        <f>+H22+K22+L22+M22</f>
        <v>437.94232</v>
      </c>
      <c r="P22" s="54">
        <f>(O22-N22)/N22</f>
        <v>2.1511146457667517E-2</v>
      </c>
      <c r="S22" s="7">
        <f>$S$20</f>
        <v>90</v>
      </c>
      <c r="T22" s="20">
        <f>$T$17*E22</f>
        <v>38.560059999999993</v>
      </c>
      <c r="U22" s="406">
        <f t="shared" ref="U22" si="1">ROUND((($A$20*$U$17)+($A$20*(1506/55)*$U$18)),2)</f>
        <v>298.93</v>
      </c>
      <c r="V22" s="20"/>
      <c r="W22" s="20">
        <f>S22+T22+U22</f>
        <v>427.49005999999997</v>
      </c>
      <c r="X22" s="20"/>
      <c r="Y22" s="20"/>
      <c r="Z22" s="20"/>
      <c r="AA22" s="20"/>
      <c r="AB22" s="7">
        <f>AB$20</f>
        <v>90.095000000000013</v>
      </c>
      <c r="AC22" s="20">
        <f>$AC$17*E22</f>
        <v>33.787319999999994</v>
      </c>
      <c r="AD22" s="406">
        <f t="shared" si="0"/>
        <v>312.83</v>
      </c>
      <c r="AE22" s="20"/>
      <c r="AF22" s="20">
        <f>AB22+AC22+AD22</f>
        <v>436.71231999999998</v>
      </c>
      <c r="AG22" s="20"/>
      <c r="AH22" s="20"/>
      <c r="AI22" s="19">
        <f>AF22-W22</f>
        <v>9.2222600000000057</v>
      </c>
      <c r="AJ22" s="18">
        <f>AF22/W22-1</f>
        <v>2.1573039616406442E-2</v>
      </c>
    </row>
    <row r="23" spans="1:41" x14ac:dyDescent="0.2">
      <c r="A23" s="1"/>
      <c r="C23" s="13"/>
      <c r="E23" s="1"/>
      <c r="J23" s="5"/>
      <c r="P23" s="54"/>
      <c r="S23" s="7"/>
      <c r="T23" s="20"/>
      <c r="U23" s="406"/>
      <c r="V23" s="20"/>
      <c r="W23" s="20"/>
      <c r="X23" s="20"/>
      <c r="Y23" s="20"/>
      <c r="Z23" s="20"/>
      <c r="AA23" s="20"/>
      <c r="AB23" s="7"/>
      <c r="AC23" s="20"/>
      <c r="AD23" s="406"/>
      <c r="AE23" s="20"/>
      <c r="AF23" s="20"/>
      <c r="AG23" s="20"/>
      <c r="AH23" s="20"/>
      <c r="AI23" s="19"/>
      <c r="AJ23" s="18"/>
    </row>
    <row r="24" spans="1:41" x14ac:dyDescent="0.2">
      <c r="A24" s="1">
        <v>4</v>
      </c>
      <c r="C24" s="13">
        <v>0.3</v>
      </c>
      <c r="E24" s="1">
        <f>C24*($A$24*730)</f>
        <v>876</v>
      </c>
      <c r="G24" s="29">
        <f>+W24</f>
        <v>720.92147999999997</v>
      </c>
      <c r="H24" s="29">
        <f>+AF24</f>
        <v>744.72555999999997</v>
      </c>
      <c r="I24" s="29">
        <f>+H24-G24</f>
        <v>23.804079999999999</v>
      </c>
      <c r="J24" s="54">
        <f>ROUND(+I24/G24,4)</f>
        <v>3.3000000000000002E-2</v>
      </c>
      <c r="K24" s="29">
        <f>ROUND($T$10*$E24,2)</f>
        <v>-0.51</v>
      </c>
      <c r="L24" s="29">
        <f>ROUND($T$11*$E24,2)</f>
        <v>0.04</v>
      </c>
      <c r="M24" s="29">
        <f>ROUND($T$12*$E24,2)</f>
        <v>1.53</v>
      </c>
      <c r="N24" s="29">
        <f>+G24+K24+L24+M24</f>
        <v>721.98147999999992</v>
      </c>
      <c r="O24" s="29">
        <f>+H24+K24+L24+M24</f>
        <v>745.78555999999992</v>
      </c>
      <c r="P24" s="54">
        <f>(O24-N24)/N24</f>
        <v>3.2970485614118528E-2</v>
      </c>
      <c r="S24" s="7">
        <f>$S$20</f>
        <v>90</v>
      </c>
      <c r="T24" s="20">
        <f>$T$17*E24</f>
        <v>33.051479999999998</v>
      </c>
      <c r="U24" s="406">
        <f>ROUND((($A$24*$U$17)+($A$24*(1506/55)*$U$18)),2)</f>
        <v>597.87</v>
      </c>
      <c r="V24" s="20"/>
      <c r="W24" s="20">
        <f>S24+T24+U24</f>
        <v>720.92147999999997</v>
      </c>
      <c r="X24" s="20"/>
      <c r="Y24" s="20"/>
      <c r="Z24" s="20"/>
      <c r="AA24" s="20"/>
      <c r="AB24" s="7">
        <f>AB$20</f>
        <v>90.095000000000013</v>
      </c>
      <c r="AC24" s="20">
        <f>$AC$17*E24</f>
        <v>28.960560000000001</v>
      </c>
      <c r="AD24" s="406">
        <f>ROUND((($A$24*$AD$17)+($A$24*(1506/55)*$AD$18)),2)</f>
        <v>625.66999999999996</v>
      </c>
      <c r="AE24" s="20"/>
      <c r="AF24" s="20">
        <f>AB24+AC24+AD24</f>
        <v>744.72555999999997</v>
      </c>
      <c r="AG24" s="24"/>
      <c r="AH24" s="20"/>
      <c r="AI24" s="19">
        <f>AF24-W24</f>
        <v>23.804079999999999</v>
      </c>
      <c r="AJ24" s="18">
        <f>AF24/W24-1</f>
        <v>3.3018963452164041E-2</v>
      </c>
    </row>
    <row r="25" spans="1:41" x14ac:dyDescent="0.2">
      <c r="A25" s="1"/>
      <c r="C25" s="13">
        <v>0.5</v>
      </c>
      <c r="E25" s="1">
        <f>C25*($A$24*730)</f>
        <v>1460</v>
      </c>
      <c r="G25" s="29">
        <f>+W25</f>
        <v>742.95579999999995</v>
      </c>
      <c r="H25" s="29">
        <f>+AF25</f>
        <v>764.0326</v>
      </c>
      <c r="I25" s="29">
        <f>+H25-G25</f>
        <v>21.076800000000048</v>
      </c>
      <c r="J25" s="54">
        <f>ROUND(+I25/G25,4)</f>
        <v>2.8400000000000002E-2</v>
      </c>
      <c r="K25" s="29">
        <f>ROUND($T$10*$E25,2)</f>
        <v>-0.85</v>
      </c>
      <c r="L25" s="29">
        <f>ROUND($T$11*$E25,2)</f>
        <v>0.06</v>
      </c>
      <c r="M25" s="29">
        <f>ROUND($T$12*$E25,2)</f>
        <v>2.56</v>
      </c>
      <c r="N25" s="29">
        <f>+G25+K25+L25+M25</f>
        <v>744.72579999999982</v>
      </c>
      <c r="O25" s="29">
        <f>+H25+K25+L25+M25</f>
        <v>765.80259999999987</v>
      </c>
      <c r="P25" s="54">
        <f>(O25-N25)/N25</f>
        <v>2.8301423154669884E-2</v>
      </c>
      <c r="S25" s="7">
        <f>$S$20</f>
        <v>90</v>
      </c>
      <c r="T25" s="20">
        <f>$T$17*E25</f>
        <v>55.085799999999999</v>
      </c>
      <c r="U25" s="406">
        <f t="shared" ref="U25:U26" si="2">ROUND((($A$24*$U$17)+($A$24*(1506/55)*$U$18)),2)</f>
        <v>597.87</v>
      </c>
      <c r="V25" s="20"/>
      <c r="W25" s="20">
        <f>S25+T25+U25</f>
        <v>742.95579999999995</v>
      </c>
      <c r="X25" s="20"/>
      <c r="Y25" s="20"/>
      <c r="Z25" s="20"/>
      <c r="AA25" s="20"/>
      <c r="AB25" s="7">
        <f>AB$20</f>
        <v>90.095000000000013</v>
      </c>
      <c r="AC25" s="20">
        <f>$AC$17*E25</f>
        <v>48.267600000000002</v>
      </c>
      <c r="AD25" s="406">
        <f t="shared" ref="AD25:AD26" si="3">ROUND((($A$24*$AD$17)+($A$24*(1506/55)*$AD$18)),2)</f>
        <v>625.66999999999996</v>
      </c>
      <c r="AE25" s="20"/>
      <c r="AF25" s="20">
        <f>AB25+AC25+AD25</f>
        <v>764.0326</v>
      </c>
      <c r="AG25" s="24"/>
      <c r="AH25" s="20"/>
      <c r="AI25" s="19">
        <f>AF25-W25</f>
        <v>21.076800000000048</v>
      </c>
      <c r="AJ25" s="18">
        <f>AF25/W25-1</f>
        <v>2.8368847783407869E-2</v>
      </c>
    </row>
    <row r="26" spans="1:41" x14ac:dyDescent="0.2">
      <c r="A26" s="1"/>
      <c r="C26" s="13">
        <v>0.7</v>
      </c>
      <c r="E26" s="1">
        <f>C26*($A$24*730)</f>
        <v>2043.9999999999998</v>
      </c>
      <c r="G26" s="29">
        <f>+W26</f>
        <v>764.99011999999993</v>
      </c>
      <c r="H26" s="29">
        <f>+AF26</f>
        <v>783.33963999999992</v>
      </c>
      <c r="I26" s="29">
        <f>+H26-G26</f>
        <v>18.349519999999984</v>
      </c>
      <c r="J26" s="54">
        <f>ROUND(+I26/G26,4)</f>
        <v>2.4E-2</v>
      </c>
      <c r="K26" s="29">
        <f>ROUND($T$10*$E26,2)</f>
        <v>-1.19</v>
      </c>
      <c r="L26" s="29">
        <f>ROUND($T$11*$E26,2)</f>
        <v>0.09</v>
      </c>
      <c r="M26" s="29">
        <f>ROUND($T$12*$E26,2)</f>
        <v>3.58</v>
      </c>
      <c r="N26" s="29">
        <f>+G26+K26+L26+M26</f>
        <v>767.47011999999995</v>
      </c>
      <c r="O26" s="29">
        <f>+H26+K26+L26+M26</f>
        <v>785.81963999999994</v>
      </c>
      <c r="P26" s="54">
        <f>(O26-N26)/N26</f>
        <v>2.3909100200539383E-2</v>
      </c>
      <c r="S26" s="7">
        <f>$S$20</f>
        <v>90</v>
      </c>
      <c r="T26" s="20">
        <f>$T$17*E26</f>
        <v>77.120119999999986</v>
      </c>
      <c r="U26" s="406">
        <f t="shared" si="2"/>
        <v>597.87</v>
      </c>
      <c r="V26" s="20"/>
      <c r="W26" s="20">
        <f>S26+T26+U26</f>
        <v>764.99011999999993</v>
      </c>
      <c r="X26" s="20"/>
      <c r="Y26" s="20"/>
      <c r="Z26" s="20"/>
      <c r="AA26" s="20"/>
      <c r="AB26" s="7">
        <f>AB$20</f>
        <v>90.095000000000013</v>
      </c>
      <c r="AC26" s="20">
        <f>$AC$17*E26</f>
        <v>67.574639999999988</v>
      </c>
      <c r="AD26" s="406">
        <f t="shared" si="3"/>
        <v>625.66999999999996</v>
      </c>
      <c r="AE26" s="20"/>
      <c r="AF26" s="20">
        <f>AB26+AC26+AD26</f>
        <v>783.33963999999992</v>
      </c>
      <c r="AG26" s="20"/>
      <c r="AH26" s="20"/>
      <c r="AI26" s="19">
        <f>AF26-W26</f>
        <v>18.349519999999984</v>
      </c>
      <c r="AJ26" s="18">
        <f>AF26/W26-1</f>
        <v>2.398661044145256E-2</v>
      </c>
    </row>
    <row r="27" spans="1:41" x14ac:dyDescent="0.2">
      <c r="A27" s="1"/>
      <c r="C27" s="13"/>
      <c r="E27" s="1"/>
      <c r="J27" s="5"/>
      <c r="P27" s="54"/>
      <c r="S27" s="7"/>
      <c r="T27" s="20"/>
      <c r="U27" s="406"/>
      <c r="V27" s="20"/>
      <c r="W27" s="20"/>
      <c r="X27" s="20"/>
      <c r="Y27" s="20"/>
      <c r="Z27" s="20"/>
      <c r="AA27" s="20"/>
      <c r="AB27" s="7"/>
      <c r="AC27" s="20"/>
      <c r="AD27" s="406"/>
      <c r="AE27" s="20"/>
      <c r="AF27" s="20"/>
      <c r="AG27" s="20"/>
      <c r="AH27" s="20"/>
      <c r="AI27" s="19"/>
      <c r="AJ27" s="18"/>
    </row>
    <row r="28" spans="1:41" x14ac:dyDescent="0.2">
      <c r="A28" s="1">
        <v>6</v>
      </c>
      <c r="C28" s="13">
        <v>0.3</v>
      </c>
      <c r="E28" s="1">
        <f>C28*($A$28*730)</f>
        <v>1314</v>
      </c>
      <c r="G28" s="29">
        <f>+W28</f>
        <v>1036.3772199999999</v>
      </c>
      <c r="H28" s="29">
        <f>+AF28</f>
        <v>1072.03584</v>
      </c>
      <c r="I28" s="29">
        <f>+H28-G28</f>
        <v>35.658620000000155</v>
      </c>
      <c r="J28" s="54">
        <f>ROUND(+I28/G28,4)</f>
        <v>3.44E-2</v>
      </c>
      <c r="K28" s="29">
        <f>ROUND($T$10*$E28,2)</f>
        <v>-0.77</v>
      </c>
      <c r="L28" s="29">
        <f>ROUND($T$11*$E28,2)</f>
        <v>0.05</v>
      </c>
      <c r="M28" s="29">
        <f>ROUND($T$12*$E28,2)</f>
        <v>2.2999999999999998</v>
      </c>
      <c r="N28" s="29">
        <f>+G28+K28+L28+M28</f>
        <v>1037.9572199999998</v>
      </c>
      <c r="O28" s="29">
        <f>+H28+K28+L28+M28</f>
        <v>1073.6158399999999</v>
      </c>
      <c r="P28" s="54">
        <f>(O28-N28)/N28</f>
        <v>3.435461434528117E-2</v>
      </c>
      <c r="S28" s="7">
        <f>$S$20</f>
        <v>90</v>
      </c>
      <c r="T28" s="20">
        <f>$T$17*E28</f>
        <v>49.577219999999997</v>
      </c>
      <c r="U28" s="406">
        <f>ROUND((($A$28*$U$17)+($A$28*(1506/55)*$U$18)),2)</f>
        <v>896.8</v>
      </c>
      <c r="V28" s="20"/>
      <c r="W28" s="20">
        <f>S28+T28+U28</f>
        <v>1036.3772199999999</v>
      </c>
      <c r="X28" s="20"/>
      <c r="Y28" s="20"/>
      <c r="Z28" s="20"/>
      <c r="AA28" s="20"/>
      <c r="AB28" s="7">
        <f>AB$20</f>
        <v>90.095000000000013</v>
      </c>
      <c r="AC28" s="20">
        <f>$AC$17*E28</f>
        <v>43.440840000000001</v>
      </c>
      <c r="AD28" s="406">
        <f>ROUND((($A$28*$AD$17)+($A$28*(1506/55)*$AD$18)),2)</f>
        <v>938.5</v>
      </c>
      <c r="AE28" s="20"/>
      <c r="AF28" s="20">
        <f>AB28+AC28+AD28</f>
        <v>1072.03584</v>
      </c>
      <c r="AG28" s="20"/>
      <c r="AH28" s="20"/>
      <c r="AI28" s="19">
        <f>AF28-W28</f>
        <v>35.658620000000155</v>
      </c>
      <c r="AJ28" s="18">
        <f>AF28/W28-1</f>
        <v>3.4406989377864017E-2</v>
      </c>
    </row>
    <row r="29" spans="1:41" x14ac:dyDescent="0.2">
      <c r="A29" s="1"/>
      <c r="C29" s="13">
        <v>0.5</v>
      </c>
      <c r="E29" s="1">
        <f>C29*($A$28*730)</f>
        <v>2190</v>
      </c>
      <c r="G29" s="29">
        <f>+W29</f>
        <v>1069.4286999999999</v>
      </c>
      <c r="H29" s="29">
        <f>+AF29</f>
        <v>1100.9964</v>
      </c>
      <c r="I29" s="29">
        <f>+H29-G29</f>
        <v>31.567700000000059</v>
      </c>
      <c r="J29" s="54">
        <f>ROUND(+I29/G29,4)</f>
        <v>2.9499999999999998E-2</v>
      </c>
      <c r="K29" s="29">
        <f>ROUND($T$10*$E29,2)</f>
        <v>-1.28</v>
      </c>
      <c r="L29" s="29">
        <f>ROUND($T$11*$E29,2)</f>
        <v>0.09</v>
      </c>
      <c r="M29" s="29">
        <f>ROUND($T$12*$E29,2)</f>
        <v>3.83</v>
      </c>
      <c r="N29" s="29">
        <f>+G29+K29+L29+M29</f>
        <v>1072.0686999999998</v>
      </c>
      <c r="O29" s="29">
        <f>+H29+K29+L29+M29</f>
        <v>1103.6363999999999</v>
      </c>
      <c r="P29" s="54">
        <f>(O29-N29)/N29</f>
        <v>2.9445594298201285E-2</v>
      </c>
      <c r="S29" s="7">
        <f>$S$20</f>
        <v>90</v>
      </c>
      <c r="T29" s="20">
        <f>$T$17*E29</f>
        <v>82.628699999999995</v>
      </c>
      <c r="U29" s="406">
        <f t="shared" ref="U29:U30" si="4">ROUND((($A$28*$U$17)+($A$28*(1506/55)*$U$18)),2)</f>
        <v>896.8</v>
      </c>
      <c r="V29" s="20"/>
      <c r="W29" s="20">
        <f>S29+T29+U29</f>
        <v>1069.4286999999999</v>
      </c>
      <c r="X29" s="20"/>
      <c r="Y29" s="20"/>
      <c r="Z29" s="20"/>
      <c r="AA29" s="20"/>
      <c r="AB29" s="7">
        <f>AB$20</f>
        <v>90.095000000000013</v>
      </c>
      <c r="AC29" s="20">
        <f>$AC$17*E29</f>
        <v>72.401399999999995</v>
      </c>
      <c r="AD29" s="406">
        <f t="shared" ref="AD29:AD30" si="5">ROUND((($A$28*$AD$17)+($A$28*(1506/55)*$AD$18)),2)</f>
        <v>938.5</v>
      </c>
      <c r="AE29" s="20"/>
      <c r="AF29" s="20">
        <f>AB29+AC29+AD29</f>
        <v>1100.9964</v>
      </c>
      <c r="AG29" s="20"/>
      <c r="AH29" s="20"/>
      <c r="AI29" s="19">
        <f>AF29-W29</f>
        <v>31.567700000000059</v>
      </c>
      <c r="AJ29" s="18">
        <f>AF29/W29-1</f>
        <v>2.9518283921125432E-2</v>
      </c>
    </row>
    <row r="30" spans="1:41" x14ac:dyDescent="0.2">
      <c r="A30" s="1"/>
      <c r="C30" s="13">
        <v>0.7</v>
      </c>
      <c r="E30" s="1">
        <f>C30*($A$28*730)</f>
        <v>3066</v>
      </c>
      <c r="G30" s="29">
        <f>+W30</f>
        <v>1102.48018</v>
      </c>
      <c r="H30" s="29">
        <f>+AF30</f>
        <v>1129.95696</v>
      </c>
      <c r="I30" s="29">
        <f>+H30-G30</f>
        <v>27.476779999999962</v>
      </c>
      <c r="J30" s="54">
        <f>ROUND(+I30/G30,4)</f>
        <v>2.4899999999999999E-2</v>
      </c>
      <c r="K30" s="29">
        <f>ROUND($T$10*$E30,2)</f>
        <v>-1.79</v>
      </c>
      <c r="L30" s="29">
        <f>ROUND($T$11*$E30,2)</f>
        <v>0.13</v>
      </c>
      <c r="M30" s="29">
        <f>ROUND($T$12*$E30,2)</f>
        <v>5.37</v>
      </c>
      <c r="N30" s="29">
        <f>+G30+K30+L30+M30</f>
        <v>1106.1901800000001</v>
      </c>
      <c r="O30" s="29">
        <f>+H30+K30+L30+M30</f>
        <v>1133.66696</v>
      </c>
      <c r="P30" s="54">
        <f>(O30-N30)/N30</f>
        <v>2.4839110396008002E-2</v>
      </c>
      <c r="S30" s="7">
        <f>$S$20</f>
        <v>90</v>
      </c>
      <c r="T30" s="20">
        <f>$T$17*E30</f>
        <v>115.68017999999999</v>
      </c>
      <c r="U30" s="406">
        <f t="shared" si="4"/>
        <v>896.8</v>
      </c>
      <c r="V30" s="20"/>
      <c r="W30" s="20">
        <f>S30+T30+U30</f>
        <v>1102.48018</v>
      </c>
      <c r="X30" s="20"/>
      <c r="Y30" s="20"/>
      <c r="Z30" s="20"/>
      <c r="AA30" s="20"/>
      <c r="AB30" s="7">
        <f>AB$20</f>
        <v>90.095000000000013</v>
      </c>
      <c r="AC30" s="20">
        <f>$AC$17*E30</f>
        <v>101.36196</v>
      </c>
      <c r="AD30" s="406">
        <f t="shared" si="5"/>
        <v>938.5</v>
      </c>
      <c r="AE30" s="20"/>
      <c r="AF30" s="20">
        <f>AB30+AC30+AD30</f>
        <v>1129.95696</v>
      </c>
      <c r="AG30" s="20"/>
      <c r="AH30" s="20"/>
      <c r="AI30" s="19">
        <f>AF30-W30</f>
        <v>27.476779999999962</v>
      </c>
      <c r="AJ30" s="18">
        <f>AF30/W30-1</f>
        <v>2.492269747652065E-2</v>
      </c>
    </row>
    <row r="31" spans="1:41" x14ac:dyDescent="0.2">
      <c r="A31" s="1"/>
      <c r="C31" s="13"/>
      <c r="E31" s="1"/>
      <c r="J31" s="5"/>
      <c r="P31" s="54"/>
      <c r="S31" s="7"/>
      <c r="T31" s="20"/>
      <c r="U31" s="406"/>
      <c r="V31" s="20"/>
      <c r="W31" s="20"/>
      <c r="X31" s="20"/>
      <c r="Y31" s="20"/>
      <c r="Z31" s="20"/>
      <c r="AA31" s="20"/>
      <c r="AB31" s="7"/>
      <c r="AC31" s="20"/>
      <c r="AD31" s="406"/>
      <c r="AE31" s="20"/>
      <c r="AF31" s="20"/>
      <c r="AG31" s="20"/>
      <c r="AH31" s="20"/>
      <c r="AI31" s="19"/>
      <c r="AJ31" s="18"/>
    </row>
    <row r="32" spans="1:41" x14ac:dyDescent="0.2">
      <c r="A32" s="1">
        <v>8</v>
      </c>
      <c r="C32" s="13">
        <v>0.3</v>
      </c>
      <c r="E32" s="1">
        <f>C32*($A$32*730)</f>
        <v>1752</v>
      </c>
      <c r="G32" s="29">
        <f>+W32</f>
        <v>1351.8429599999999</v>
      </c>
      <c r="H32" s="29">
        <f>+AF32</f>
        <v>1399.3561199999999</v>
      </c>
      <c r="I32" s="29">
        <f>+H32-G32</f>
        <v>47.513159999999971</v>
      </c>
      <c r="J32" s="54">
        <f>ROUND(+I32/G32,4)</f>
        <v>3.5099999999999999E-2</v>
      </c>
      <c r="K32" s="29">
        <f>ROUND($T$10*$E32,2)</f>
        <v>-1.02</v>
      </c>
      <c r="L32" s="29">
        <f>ROUND($T$11*$E32,2)</f>
        <v>7.0000000000000007E-2</v>
      </c>
      <c r="M32" s="29">
        <f>ROUND($T$12*$E32,2)</f>
        <v>3.07</v>
      </c>
      <c r="N32" s="29">
        <f>+G32+K32+L32+M32</f>
        <v>1353.9629599999998</v>
      </c>
      <c r="O32" s="29">
        <f>+H32+K32+L32+M32</f>
        <v>1401.4761199999998</v>
      </c>
      <c r="P32" s="54">
        <f>(O32-N32)/N32</f>
        <v>3.50919200921124E-2</v>
      </c>
      <c r="S32" s="7">
        <f>$S$20</f>
        <v>90</v>
      </c>
      <c r="T32" s="20">
        <f>$T$17*E32</f>
        <v>66.102959999999996</v>
      </c>
      <c r="U32" s="406">
        <f>ROUND((($A$32*$U$17)+($A$32*(1506/55)*$U$18)),2)</f>
        <v>1195.74</v>
      </c>
      <c r="V32" s="20"/>
      <c r="W32" s="20">
        <f>S32+T32+U32</f>
        <v>1351.8429599999999</v>
      </c>
      <c r="X32" s="20"/>
      <c r="Y32" s="20"/>
      <c r="Z32" s="20"/>
      <c r="AA32" s="20"/>
      <c r="AB32" s="7">
        <f>AB$20</f>
        <v>90.095000000000013</v>
      </c>
      <c r="AC32" s="20">
        <f>$AC$17*E32</f>
        <v>57.921120000000002</v>
      </c>
      <c r="AD32" s="406">
        <f>ROUND((($A$32*$AD$17)+($A$32*(1506/55)*$AD$18)),2)</f>
        <v>1251.3399999999999</v>
      </c>
      <c r="AE32" s="20"/>
      <c r="AF32" s="20">
        <f>AB32+AC32+AD32</f>
        <v>1399.3561199999999</v>
      </c>
      <c r="AG32" s="20"/>
      <c r="AH32" s="20"/>
      <c r="AI32" s="19">
        <f>AF32-W32</f>
        <v>47.513159999999971</v>
      </c>
      <c r="AJ32" s="18">
        <f>AF32/W32-1</f>
        <v>3.5146952276172705E-2</v>
      </c>
    </row>
    <row r="33" spans="1:36" x14ac:dyDescent="0.2">
      <c r="A33" s="1"/>
      <c r="C33" s="13">
        <v>0.5</v>
      </c>
      <c r="E33" s="1">
        <f>C33*($A$32*730)</f>
        <v>2920</v>
      </c>
      <c r="G33" s="29">
        <f>+W33</f>
        <v>1395.9115999999999</v>
      </c>
      <c r="H33" s="29">
        <f>+AF33</f>
        <v>1437.9702</v>
      </c>
      <c r="I33" s="29">
        <f>+H33-G33</f>
        <v>42.058600000000069</v>
      </c>
      <c r="J33" s="54">
        <f>ROUND(+I33/G33,4)</f>
        <v>3.0099999999999998E-2</v>
      </c>
      <c r="K33" s="29">
        <f>ROUND($T$10*$E33,2)</f>
        <v>-1.7</v>
      </c>
      <c r="L33" s="29">
        <f>ROUND($T$11*$E33,2)</f>
        <v>0.12</v>
      </c>
      <c r="M33" s="29">
        <f>ROUND($T$12*$E33,2)</f>
        <v>5.1100000000000003</v>
      </c>
      <c r="N33" s="29">
        <f>+G33+K33+L33+M33</f>
        <v>1399.4415999999997</v>
      </c>
      <c r="O33" s="29">
        <f>+H33+K33+L33+M33</f>
        <v>1441.5001999999997</v>
      </c>
      <c r="P33" s="54">
        <f>(O33-N33)/N33</f>
        <v>3.0053844333339869E-2</v>
      </c>
      <c r="S33" s="7">
        <f>$S$20</f>
        <v>90</v>
      </c>
      <c r="T33" s="20">
        <f>$T$17*E33</f>
        <v>110.1716</v>
      </c>
      <c r="U33" s="406">
        <f t="shared" ref="U33:U34" si="6">ROUND((($A$32*$U$17)+($A$32*(1506/55)*$U$18)),2)</f>
        <v>1195.74</v>
      </c>
      <c r="V33" s="20"/>
      <c r="W33" s="20">
        <f>S33+T33+U33</f>
        <v>1395.9115999999999</v>
      </c>
      <c r="X33" s="20"/>
      <c r="Y33" s="20"/>
      <c r="Z33" s="20"/>
      <c r="AA33" s="20"/>
      <c r="AB33" s="7">
        <f>AB$20</f>
        <v>90.095000000000013</v>
      </c>
      <c r="AC33" s="20">
        <f>$AC$17*E33</f>
        <v>96.535200000000003</v>
      </c>
      <c r="AD33" s="406">
        <f t="shared" ref="AD33:AD34" si="7">ROUND((($A$32*$AD$17)+($A$32*(1506/55)*$AD$18)),2)</f>
        <v>1251.3399999999999</v>
      </c>
      <c r="AE33" s="20"/>
      <c r="AF33" s="20">
        <f>AB33+AC33+AD33</f>
        <v>1437.9702</v>
      </c>
      <c r="AG33" s="20"/>
      <c r="AH33" s="20"/>
      <c r="AI33" s="19">
        <f>AF33-W33</f>
        <v>42.058600000000069</v>
      </c>
      <c r="AJ33" s="18">
        <f>AF33/W33-1</f>
        <v>3.0129844898487912E-2</v>
      </c>
    </row>
    <row r="34" spans="1:36" x14ac:dyDescent="0.2">
      <c r="A34" s="1"/>
      <c r="C34" s="13">
        <v>0.7</v>
      </c>
      <c r="E34" s="1">
        <f>C34*($A$32*730)</f>
        <v>4087.9999999999995</v>
      </c>
      <c r="G34" s="29">
        <f>+W34</f>
        <v>1439.9802399999999</v>
      </c>
      <c r="H34" s="29">
        <f>+AF34</f>
        <v>1476.58428</v>
      </c>
      <c r="I34" s="29">
        <f>+H34-G34</f>
        <v>36.604040000000168</v>
      </c>
      <c r="J34" s="54">
        <f>ROUND(+I34/G34,4)</f>
        <v>2.5399999999999999E-2</v>
      </c>
      <c r="K34" s="29">
        <f>ROUND($T$10*$E34,2)</f>
        <v>-2.38</v>
      </c>
      <c r="L34" s="29">
        <f>ROUND($T$11*$E34,2)</f>
        <v>0.17</v>
      </c>
      <c r="M34" s="29">
        <f>ROUND($T$12*$E34,2)</f>
        <v>7.15</v>
      </c>
      <c r="N34" s="29">
        <f>+G34+K34+L34+M34</f>
        <v>1444.9202399999999</v>
      </c>
      <c r="O34" s="29">
        <f>+H34+K34+L34+M34</f>
        <v>1481.5242800000001</v>
      </c>
      <c r="P34" s="54">
        <f>(O34-N34)/N34</f>
        <v>2.5332913877654708E-2</v>
      </c>
      <c r="S34" s="7">
        <f>$S$20</f>
        <v>90</v>
      </c>
      <c r="T34" s="20">
        <f>$T$17*E34</f>
        <v>154.24023999999997</v>
      </c>
      <c r="U34" s="406">
        <f t="shared" si="6"/>
        <v>1195.74</v>
      </c>
      <c r="V34" s="20"/>
      <c r="W34" s="20">
        <f>S34+T34+U34</f>
        <v>1439.9802399999999</v>
      </c>
      <c r="X34" s="20"/>
      <c r="Y34" s="20"/>
      <c r="Z34" s="20"/>
      <c r="AA34" s="20"/>
      <c r="AB34" s="7">
        <f>AB$20</f>
        <v>90.095000000000013</v>
      </c>
      <c r="AC34" s="20">
        <f>$AC$17*E34</f>
        <v>135.14927999999998</v>
      </c>
      <c r="AD34" s="406">
        <f t="shared" si="7"/>
        <v>1251.3399999999999</v>
      </c>
      <c r="AE34" s="20"/>
      <c r="AF34" s="20">
        <f>AB34+AC34+AD34</f>
        <v>1476.58428</v>
      </c>
      <c r="AG34" s="20"/>
      <c r="AH34" s="20"/>
      <c r="AI34" s="19">
        <f>AF34-W34</f>
        <v>36.604040000000168</v>
      </c>
      <c r="AJ34" s="18">
        <f>AF34/W34-1</f>
        <v>2.5419821038655588E-2</v>
      </c>
    </row>
    <row r="35" spans="1:36" x14ac:dyDescent="0.2">
      <c r="A35" s="1"/>
      <c r="C35" s="13"/>
      <c r="E35" s="1"/>
      <c r="J35" s="5"/>
      <c r="P35" s="54"/>
      <c r="S35" s="7"/>
      <c r="T35" s="20"/>
      <c r="U35" s="406"/>
      <c r="V35" s="20"/>
      <c r="W35" s="20"/>
      <c r="X35" s="20"/>
      <c r="Y35" s="20"/>
      <c r="Z35" s="20"/>
      <c r="AA35" s="20"/>
      <c r="AB35" s="7"/>
      <c r="AC35" s="20"/>
      <c r="AD35" s="406"/>
      <c r="AE35" s="20"/>
      <c r="AF35" s="20"/>
      <c r="AG35" s="20"/>
      <c r="AH35" s="20"/>
      <c r="AI35" s="19"/>
      <c r="AJ35" s="18"/>
    </row>
    <row r="36" spans="1:36" x14ac:dyDescent="0.2">
      <c r="A36" s="1">
        <v>10</v>
      </c>
      <c r="C36" s="13">
        <v>0.3</v>
      </c>
      <c r="E36" s="1">
        <f>C36*($A$36*730)</f>
        <v>2190</v>
      </c>
      <c r="G36" s="29">
        <f>+W36</f>
        <v>1667.2987000000001</v>
      </c>
      <c r="H36" s="29">
        <f>+AF36</f>
        <v>1726.6664000000001</v>
      </c>
      <c r="I36" s="29">
        <f>+H36-G36</f>
        <v>59.367700000000013</v>
      </c>
      <c r="J36" s="54">
        <f>ROUND(+I36/G36,4)</f>
        <v>3.56E-2</v>
      </c>
      <c r="K36" s="29">
        <f>ROUND($T$10*$E36,2)</f>
        <v>-1.28</v>
      </c>
      <c r="L36" s="29">
        <f>ROUND($T$11*$E36,2)</f>
        <v>0.09</v>
      </c>
      <c r="M36" s="29">
        <f>ROUND($T$12*$E36,2)</f>
        <v>3.83</v>
      </c>
      <c r="N36" s="29">
        <f>+G36+K36+L36+M36</f>
        <v>1669.9386999999999</v>
      </c>
      <c r="O36" s="29">
        <f>+H36+K36+L36+M36</f>
        <v>1729.3063999999999</v>
      </c>
      <c r="P36" s="54">
        <f>(O36-N36)/N36</f>
        <v>3.5550825907561763E-2</v>
      </c>
      <c r="S36" s="7">
        <f>$S$20</f>
        <v>90</v>
      </c>
      <c r="T36" s="20">
        <f>$T$17*E36</f>
        <v>82.628699999999995</v>
      </c>
      <c r="U36" s="406">
        <f>ROUND((($A$36*$U$17)+($A$36*(1506/55)*$U$18)),2)</f>
        <v>1494.67</v>
      </c>
      <c r="V36" s="20"/>
      <c r="W36" s="20">
        <f>S36+T36+U36</f>
        <v>1667.2987000000001</v>
      </c>
      <c r="X36" s="20"/>
      <c r="Y36" s="20"/>
      <c r="Z36" s="20"/>
      <c r="AA36" s="20"/>
      <c r="AB36" s="7">
        <f>AB$20</f>
        <v>90.095000000000013</v>
      </c>
      <c r="AC36" s="20">
        <f>$AC$17*E36</f>
        <v>72.401399999999995</v>
      </c>
      <c r="AD36" s="406">
        <f>ROUND((($A$36*$AD$17)+($A$36*(1506/55)*$AD$18)),2)</f>
        <v>1564.17</v>
      </c>
      <c r="AE36" s="20"/>
      <c r="AF36" s="20">
        <f>AB36+AC36+AD36</f>
        <v>1726.6664000000001</v>
      </c>
      <c r="AG36" s="20"/>
      <c r="AH36" s="20"/>
      <c r="AI36" s="19">
        <f>AF36-W36</f>
        <v>59.367700000000013</v>
      </c>
      <c r="AJ36" s="18">
        <f>AF36/W36-1</f>
        <v>3.5607117069065053E-2</v>
      </c>
    </row>
    <row r="37" spans="1:36" x14ac:dyDescent="0.2">
      <c r="A37" s="1"/>
      <c r="C37" s="13">
        <v>0.5</v>
      </c>
      <c r="E37" s="1">
        <f>C37*($A$36*730)</f>
        <v>3650</v>
      </c>
      <c r="G37" s="29">
        <f>+W37</f>
        <v>1722.3845000000001</v>
      </c>
      <c r="H37" s="29">
        <f>+AF37</f>
        <v>1774.9340000000002</v>
      </c>
      <c r="I37" s="29">
        <f>+H37-G37</f>
        <v>52.54950000000008</v>
      </c>
      <c r="J37" s="54">
        <f>ROUND(+I37/G37,4)</f>
        <v>3.0499999999999999E-2</v>
      </c>
      <c r="K37" s="29">
        <f>ROUND($T$10*$E37,2)</f>
        <v>-2.13</v>
      </c>
      <c r="L37" s="29">
        <f>ROUND($T$11*$E37,2)</f>
        <v>0.15</v>
      </c>
      <c r="M37" s="29">
        <f>ROUND($T$12*$E37,2)</f>
        <v>6.39</v>
      </c>
      <c r="N37" s="29">
        <f>+G37+K37+L37+M37</f>
        <v>1726.7945000000002</v>
      </c>
      <c r="O37" s="29">
        <f>+H37+K37+L37+M37</f>
        <v>1779.3440000000003</v>
      </c>
      <c r="P37" s="54">
        <f>(O37-N37)/N37</f>
        <v>3.0431820346891351E-2</v>
      </c>
      <c r="S37" s="7">
        <f>$S$20</f>
        <v>90</v>
      </c>
      <c r="T37" s="20">
        <f>$T$17*E37</f>
        <v>137.71449999999999</v>
      </c>
      <c r="U37" s="406">
        <f t="shared" ref="U37:U38" si="8">ROUND((($A$36*$U$17)+($A$36*(1506/55)*$U$18)),2)</f>
        <v>1494.67</v>
      </c>
      <c r="V37" s="20"/>
      <c r="W37" s="20">
        <f>S37+T37+U37</f>
        <v>1722.3845000000001</v>
      </c>
      <c r="X37" s="20"/>
      <c r="Y37" s="20"/>
      <c r="Z37" s="20"/>
      <c r="AA37" s="20"/>
      <c r="AB37" s="7">
        <f>AB$20</f>
        <v>90.095000000000013</v>
      </c>
      <c r="AC37" s="20">
        <f>$AC$17*E37</f>
        <v>120.669</v>
      </c>
      <c r="AD37" s="406">
        <f t="shared" ref="AD37:AD38" si="9">ROUND((($A$36*$AD$17)+($A$36*(1506/55)*$AD$18)),2)</f>
        <v>1564.17</v>
      </c>
      <c r="AE37" s="20"/>
      <c r="AF37" s="20">
        <f>AB37+AC37+AD37</f>
        <v>1774.9340000000002</v>
      </c>
      <c r="AG37" s="20"/>
      <c r="AH37" s="20"/>
      <c r="AI37" s="19">
        <f>AF37-W37</f>
        <v>52.54950000000008</v>
      </c>
      <c r="AJ37" s="18">
        <f>AF37/W37-1</f>
        <v>3.0509738098548844E-2</v>
      </c>
    </row>
    <row r="38" spans="1:36" x14ac:dyDescent="0.2">
      <c r="A38" s="1"/>
      <c r="C38" s="13">
        <v>0.7</v>
      </c>
      <c r="E38" s="1">
        <f>C38*($A$36*730)</f>
        <v>5110</v>
      </c>
      <c r="G38" s="29">
        <f>+W38</f>
        <v>1777.4703</v>
      </c>
      <c r="H38" s="29">
        <f>+AF38</f>
        <v>1823.2016000000001</v>
      </c>
      <c r="I38" s="29">
        <f>+H38-G38</f>
        <v>45.731300000000147</v>
      </c>
      <c r="J38" s="54">
        <f>ROUND(+I38/G38,4)</f>
        <v>2.5700000000000001E-2</v>
      </c>
      <c r="K38" s="29">
        <f>ROUND($T$10*$E38,2)</f>
        <v>-2.98</v>
      </c>
      <c r="L38" s="29">
        <f>ROUND($T$11*$E38,2)</f>
        <v>0.21</v>
      </c>
      <c r="M38" s="29">
        <f>ROUND($T$12*$E38,2)</f>
        <v>8.94</v>
      </c>
      <c r="N38" s="29">
        <f>+G38+K38+L38+M38</f>
        <v>1783.6403</v>
      </c>
      <c r="O38" s="29">
        <f>+H38+K38+L38+M38</f>
        <v>1829.3716000000002</v>
      </c>
      <c r="P38" s="54">
        <f>(O38-N38)/N38</f>
        <v>2.5639306310807256E-2</v>
      </c>
      <c r="S38" s="7">
        <f>$S$20</f>
        <v>90</v>
      </c>
      <c r="T38" s="20">
        <f>$T$17*E38</f>
        <v>192.80029999999999</v>
      </c>
      <c r="U38" s="406">
        <f t="shared" si="8"/>
        <v>1494.67</v>
      </c>
      <c r="V38" s="20"/>
      <c r="W38" s="20">
        <f>S38+T38+U38</f>
        <v>1777.4703</v>
      </c>
      <c r="X38" s="20"/>
      <c r="Y38" s="20"/>
      <c r="Z38" s="20"/>
      <c r="AA38" s="20"/>
      <c r="AB38" s="7">
        <f>AB$20</f>
        <v>90.095000000000013</v>
      </c>
      <c r="AC38" s="20">
        <f>$AC$17*E38</f>
        <v>168.9366</v>
      </c>
      <c r="AD38" s="406">
        <f t="shared" si="9"/>
        <v>1564.17</v>
      </c>
      <c r="AE38" s="20"/>
      <c r="AF38" s="20">
        <f>AB38+AC38+AD38</f>
        <v>1823.2016000000001</v>
      </c>
      <c r="AG38" s="20"/>
      <c r="AH38" s="20"/>
      <c r="AI38" s="19">
        <f>AF38-W38</f>
        <v>45.731300000000147</v>
      </c>
      <c r="AJ38" s="18">
        <f>AF38/W38-1</f>
        <v>2.5728306121345579E-2</v>
      </c>
    </row>
    <row r="39" spans="1:36" x14ac:dyDescent="0.2">
      <c r="E39" s="1"/>
      <c r="L39" s="29"/>
      <c r="T39" s="20"/>
      <c r="U39" s="20"/>
      <c r="V39" s="20"/>
      <c r="W39" s="20"/>
      <c r="X39" s="20"/>
      <c r="Y39" s="20"/>
      <c r="Z39" s="20"/>
      <c r="AA39" s="20"/>
    </row>
    <row r="40" spans="1:36" x14ac:dyDescent="0.2">
      <c r="A40" s="17" t="s">
        <v>314</v>
      </c>
      <c r="E40" s="1"/>
      <c r="L40" s="29"/>
      <c r="T40" s="20"/>
      <c r="U40" s="20"/>
      <c r="V40" s="20"/>
      <c r="W40" s="20"/>
      <c r="X40" s="20"/>
      <c r="Y40" s="20"/>
      <c r="Z40" s="20"/>
      <c r="AA40" s="20"/>
    </row>
    <row r="41" spans="1:36" x14ac:dyDescent="0.2">
      <c r="A41" s="170" t="str">
        <f>("Average usage = "&amp;TEXT(INPUT!Q20*1,"0,000")&amp;" kWh per month")</f>
        <v>Average usage = 2,000 kWh per month</v>
      </c>
      <c r="T41" s="20"/>
      <c r="U41" s="20"/>
      <c r="V41" s="20"/>
      <c r="W41" s="20"/>
      <c r="X41" s="20"/>
      <c r="Y41" s="20"/>
      <c r="Z41" s="20"/>
      <c r="AA41" s="20"/>
    </row>
    <row r="42" spans="1:36" x14ac:dyDescent="0.2">
      <c r="A42" s="172" t="s">
        <v>315</v>
      </c>
      <c r="E42" s="1"/>
      <c r="S42" s="7"/>
      <c r="T42" s="20"/>
      <c r="U42" s="12"/>
      <c r="W42" s="12"/>
      <c r="AA42" s="6"/>
      <c r="AC42" s="9"/>
    </row>
    <row r="43" spans="1:36" x14ac:dyDescent="0.2">
      <c r="A43" s="171" t="s">
        <v>507</v>
      </c>
      <c r="E43" s="1"/>
      <c r="S43" s="7"/>
      <c r="T43" s="20"/>
      <c r="U43" s="12"/>
      <c r="W43" s="12"/>
      <c r="AA43" s="6"/>
      <c r="AC43" s="9"/>
    </row>
    <row r="44" spans="1:36" x14ac:dyDescent="0.2">
      <c r="A44" s="172" t="str">
        <f>+'Rate Case Constants'!C26</f>
        <v>Calculations may vary from other schedules due to rounding</v>
      </c>
    </row>
    <row r="45" spans="1:36" x14ac:dyDescent="0.2">
      <c r="A45" s="46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75" right="0.75" top="1.5" bottom="0.5" header="1" footer="0.5"/>
  <pageSetup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44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8.140625" customWidth="1"/>
    <col min="2" max="2" width="2.140625" customWidth="1"/>
    <col min="3" max="3" width="7.28515625" bestFit="1" customWidth="1"/>
    <col min="4" max="4" width="2.5703125" customWidth="1"/>
    <col min="5" max="5" width="9.85546875" bestFit="1" customWidth="1"/>
    <col min="6" max="6" width="3" customWidth="1"/>
    <col min="7" max="8" width="12.28515625" bestFit="1" customWidth="1"/>
    <col min="9" max="9" width="13" bestFit="1" customWidth="1"/>
    <col min="10" max="10" width="9.28515625" bestFit="1" customWidth="1"/>
    <col min="11" max="11" width="12" bestFit="1" customWidth="1"/>
    <col min="12" max="12" width="11.28515625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19" width="10.85546875" customWidth="1"/>
    <col min="20" max="20" width="13" bestFit="1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429" t="str">
        <f>+'Rate Case Constants'!C9</f>
        <v>LOUISVILLE GAS AND ELECTRIC COMPANY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42" x14ac:dyDescent="0.2">
      <c r="A2" s="429" t="str">
        <f>+'Rate Case Constants'!C10</f>
        <v>CASE NO. 2018-00295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42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42" x14ac:dyDescent="0.2">
      <c r="A4" s="429" t="str">
        <f>+'Rate Case Constants'!C21</f>
        <v>FORECAST PERIOD FOR THE 12 MONTHS ENDED APRIL 30, 2020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42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42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42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 t="str">
        <f>+'Rate Case Constants'!C25</f>
        <v>SCHEDULE N</v>
      </c>
    </row>
    <row r="8" spans="1:42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/>
      <c r="M8" s="249"/>
      <c r="N8" s="249"/>
      <c r="O8" s="249"/>
      <c r="P8" s="251" t="str">
        <f>+'Rate Case Constants'!L31</f>
        <v>PAGE 24 of 26</v>
      </c>
    </row>
    <row r="9" spans="1:42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1" t="str">
        <f>+'Rate Case Constants'!C36</f>
        <v>WITNESS:   R. M. CONROY</v>
      </c>
      <c r="T9" t="s">
        <v>509</v>
      </c>
    </row>
    <row r="10" spans="1:42" x14ac:dyDescent="0.2">
      <c r="A10" s="249"/>
      <c r="B10" s="249"/>
      <c r="C10" s="249"/>
      <c r="D10" s="249"/>
      <c r="E10" s="253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S10" s="83" t="s">
        <v>70</v>
      </c>
      <c r="T10">
        <f>INPUT!G67</f>
        <v>-5.8334251225944139E-4</v>
      </c>
    </row>
    <row r="11" spans="1:42" x14ac:dyDescent="0.2">
      <c r="A11" s="182" t="s">
        <v>387</v>
      </c>
      <c r="B11" s="2"/>
      <c r="C11" s="2"/>
      <c r="S11" s="83" t="s">
        <v>72</v>
      </c>
      <c r="T11">
        <f>INPUT!H67</f>
        <v>4.1667322304245819E-5</v>
      </c>
    </row>
    <row r="12" spans="1:42" x14ac:dyDescent="0.2">
      <c r="B12" s="2"/>
      <c r="C12" s="2"/>
      <c r="S12" s="83" t="s">
        <v>71</v>
      </c>
      <c r="T12">
        <f>INPUT!I67</f>
        <v>1.7500275367783242E-3</v>
      </c>
    </row>
    <row r="13" spans="1:42" x14ac:dyDescent="0.2">
      <c r="A13" s="44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Y13" s="323" t="s">
        <v>71</v>
      </c>
      <c r="Z13" s="323"/>
      <c r="AG13" s="30"/>
      <c r="AH13" s="323" t="s">
        <v>71</v>
      </c>
      <c r="AI13" s="30"/>
      <c r="AJ13" s="30"/>
      <c r="AK13" s="30"/>
      <c r="AL13" s="30"/>
      <c r="AM13" s="30"/>
      <c r="AN13" s="30"/>
      <c r="AO13" s="30"/>
      <c r="AP13" s="30"/>
    </row>
    <row r="14" spans="1:42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23" t="s">
        <v>1</v>
      </c>
      <c r="T14" s="323" t="s">
        <v>1</v>
      </c>
      <c r="U14" s="323" t="s">
        <v>1</v>
      </c>
      <c r="W14" s="323" t="s">
        <v>1</v>
      </c>
      <c r="Y14" s="323" t="s">
        <v>1</v>
      </c>
      <c r="Z14" s="323"/>
      <c r="AB14" s="323" t="s">
        <v>9</v>
      </c>
      <c r="AC14" s="323" t="s">
        <v>9</v>
      </c>
      <c r="AD14" s="21" t="s">
        <v>9</v>
      </c>
      <c r="AE14" s="20"/>
      <c r="AF14" s="21" t="s">
        <v>9</v>
      </c>
      <c r="AG14" s="20"/>
      <c r="AH14" s="323" t="s">
        <v>1</v>
      </c>
      <c r="AI14" s="20"/>
      <c r="AK14" s="30"/>
      <c r="AM14" s="30"/>
      <c r="AN14" s="30"/>
    </row>
    <row r="15" spans="1:42" x14ac:dyDescent="0.2">
      <c r="C15" s="323" t="s">
        <v>27</v>
      </c>
      <c r="E15" s="323"/>
      <c r="F15" s="323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23"/>
      <c r="R15" s="323"/>
      <c r="S15" s="323" t="s">
        <v>2</v>
      </c>
      <c r="T15" s="323" t="s">
        <v>57</v>
      </c>
      <c r="U15" s="323" t="s">
        <v>28</v>
      </c>
      <c r="V15" s="323"/>
      <c r="W15" s="323" t="s">
        <v>5</v>
      </c>
      <c r="Y15" s="323" t="s">
        <v>75</v>
      </c>
      <c r="Z15" s="323"/>
      <c r="AB15" s="26" t="s">
        <v>56</v>
      </c>
      <c r="AC15" s="323" t="s">
        <v>57</v>
      </c>
      <c r="AD15" s="22" t="s">
        <v>18</v>
      </c>
      <c r="AE15" s="21"/>
      <c r="AF15" s="21" t="s">
        <v>5</v>
      </c>
      <c r="AG15" s="23"/>
      <c r="AH15" s="323" t="s">
        <v>75</v>
      </c>
      <c r="AI15" s="21" t="s">
        <v>6</v>
      </c>
      <c r="AJ15" s="323" t="s">
        <v>8</v>
      </c>
      <c r="AK15" s="47"/>
      <c r="AL15" s="47"/>
      <c r="AM15" s="46"/>
      <c r="AN15" s="46"/>
      <c r="AO15" s="46"/>
      <c r="AP15" s="46"/>
    </row>
    <row r="16" spans="1:42" x14ac:dyDescent="0.2">
      <c r="A16" s="323" t="s">
        <v>52</v>
      </c>
      <c r="C16" s="323" t="s">
        <v>24</v>
      </c>
      <c r="E16" s="323" t="s">
        <v>51</v>
      </c>
      <c r="F16" s="323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23"/>
      <c r="R16" s="323"/>
      <c r="S16" s="26" t="s">
        <v>3</v>
      </c>
      <c r="T16" s="323" t="s">
        <v>3</v>
      </c>
      <c r="U16" s="323" t="s">
        <v>58</v>
      </c>
      <c r="V16" s="323"/>
      <c r="W16" s="323" t="s">
        <v>4</v>
      </c>
      <c r="Y16" s="323" t="s">
        <v>3</v>
      </c>
      <c r="Z16" s="323"/>
      <c r="AB16" s="26" t="s">
        <v>3</v>
      </c>
      <c r="AC16" s="323" t="s">
        <v>3</v>
      </c>
      <c r="AD16" s="22" t="s">
        <v>55</v>
      </c>
      <c r="AE16" s="21"/>
      <c r="AF16" s="21" t="s">
        <v>4</v>
      </c>
      <c r="AG16" s="23"/>
      <c r="AH16" s="323" t="s">
        <v>3</v>
      </c>
      <c r="AI16" s="21" t="s">
        <v>7</v>
      </c>
      <c r="AJ16" s="323" t="s">
        <v>7</v>
      </c>
      <c r="AL16" s="30"/>
      <c r="AM16" s="30"/>
      <c r="AN16" s="30"/>
      <c r="AO16" s="30"/>
      <c r="AP16" s="30"/>
    </row>
    <row r="17" spans="1:41" x14ac:dyDescent="0.2">
      <c r="A17" s="323"/>
      <c r="C17" s="323"/>
      <c r="E17" s="323"/>
      <c r="F17" s="323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23"/>
      <c r="R17" s="323"/>
      <c r="S17" s="26"/>
      <c r="T17" s="42">
        <f>+INPUT!$R$6</f>
        <v>3.6269999999999997E-2</v>
      </c>
      <c r="U17" s="45">
        <f>INPUT!R14</f>
        <v>14.01</v>
      </c>
      <c r="V17" s="44" t="s">
        <v>505</v>
      </c>
      <c r="W17" s="323"/>
      <c r="Y17" s="42"/>
      <c r="Z17" s="42"/>
      <c r="AB17" s="26"/>
      <c r="AC17" s="42">
        <f>+INPUT!$R$28</f>
        <v>3.6269999999999997E-2</v>
      </c>
      <c r="AD17" s="45">
        <f>INPUT!R35</f>
        <v>20.260000000000002</v>
      </c>
      <c r="AE17" s="44" t="s">
        <v>505</v>
      </c>
      <c r="AF17" s="21"/>
      <c r="AG17" s="23"/>
      <c r="AH17" s="42"/>
      <c r="AI17" s="21"/>
      <c r="AJ17" s="323"/>
      <c r="AM17" s="30"/>
      <c r="AN17" s="46"/>
      <c r="AO17" s="30"/>
    </row>
    <row r="18" spans="1:41" x14ac:dyDescent="0.2">
      <c r="A18" s="80"/>
      <c r="B18" s="16"/>
      <c r="C18" s="80"/>
      <c r="D18" s="16"/>
      <c r="E18" s="80"/>
      <c r="F18" s="80"/>
      <c r="G18" s="321"/>
      <c r="H18" s="321"/>
      <c r="I18" s="321" t="str">
        <f>("[ "&amp;H13&amp;" - "&amp;G13&amp;" ]")</f>
        <v>[ B - A ]</v>
      </c>
      <c r="J18" s="321" t="str">
        <f>("[ "&amp;I13&amp;" / "&amp;G13&amp;" ]")</f>
        <v>[ C / A ]</v>
      </c>
      <c r="K18" s="262"/>
      <c r="L18" s="262"/>
      <c r="M18" s="262"/>
      <c r="N18" s="321" t="str">
        <f>("["&amp;G13&amp;"+"&amp;$K$13&amp;"+"&amp;$L$13&amp;"+"&amp;$M$13&amp;"]")</f>
        <v>[A+E+F+G]</v>
      </c>
      <c r="O18" s="321" t="str">
        <f>("["&amp;H13&amp;"+"&amp;$K$13&amp;"+"&amp;$L$13&amp;"+"&amp;$M$13&amp;"]")</f>
        <v>[B+E+F+G]</v>
      </c>
      <c r="P18" s="321" t="str">
        <f>("[("&amp;O13&amp;" - "&amp;N13&amp;")/"&amp;N13&amp;"]")</f>
        <v>[(I - H)/H]</v>
      </c>
      <c r="Q18" s="323"/>
      <c r="R18" s="323"/>
      <c r="S18" s="26"/>
      <c r="T18" s="323" t="s">
        <v>14</v>
      </c>
      <c r="U18" s="45">
        <f>INPUT!R16</f>
        <v>3.48</v>
      </c>
      <c r="V18" s="44" t="s">
        <v>506</v>
      </c>
      <c r="W18" s="323"/>
      <c r="Y18" s="323" t="s">
        <v>14</v>
      </c>
      <c r="Z18" s="323"/>
      <c r="AB18" s="26"/>
      <c r="AC18" s="323" t="s">
        <v>14</v>
      </c>
      <c r="AD18" s="45">
        <f>INPUT!R37</f>
        <v>3.46</v>
      </c>
      <c r="AE18" s="44" t="s">
        <v>506</v>
      </c>
      <c r="AF18" s="21"/>
      <c r="AG18" s="23"/>
      <c r="AH18" s="323"/>
      <c r="AI18" s="21"/>
      <c r="AJ18" s="323"/>
    </row>
    <row r="19" spans="1:41" x14ac:dyDescent="0.2">
      <c r="A19" s="323"/>
      <c r="E19" s="323"/>
      <c r="F19" s="323"/>
      <c r="G19" s="323"/>
      <c r="H19" s="323"/>
      <c r="I19" s="164"/>
      <c r="J19" s="164"/>
      <c r="K19" s="323"/>
      <c r="L19" s="323"/>
      <c r="M19" s="323"/>
      <c r="N19" s="164"/>
      <c r="O19" s="323"/>
      <c r="P19" s="164"/>
      <c r="Q19" s="323"/>
      <c r="R19" s="323"/>
      <c r="T19" s="323"/>
      <c r="U19" s="323"/>
      <c r="V19" s="323"/>
      <c r="W19" s="323"/>
      <c r="Y19" s="323"/>
      <c r="Z19" s="323"/>
      <c r="AC19" s="21"/>
      <c r="AD19" s="21"/>
      <c r="AE19" s="21"/>
      <c r="AF19" s="21"/>
      <c r="AG19" s="20"/>
      <c r="AH19" s="21"/>
      <c r="AI19" s="20"/>
    </row>
    <row r="20" spans="1:41" x14ac:dyDescent="0.2">
      <c r="A20" s="1">
        <v>2</v>
      </c>
      <c r="C20" s="13">
        <v>0.3</v>
      </c>
      <c r="E20" s="1">
        <f>C20*($A$20*730)</f>
        <v>438</v>
      </c>
      <c r="G20" s="29">
        <f>+W20</f>
        <v>474.48626000000002</v>
      </c>
      <c r="H20" s="29">
        <f>+AF20</f>
        <v>486.03813500000001</v>
      </c>
      <c r="I20" s="29">
        <f>+H20-G20</f>
        <v>11.551874999999995</v>
      </c>
      <c r="J20" s="54">
        <f>ROUND(+I20/G20,4)</f>
        <v>2.4299999999999999E-2</v>
      </c>
      <c r="K20" s="29">
        <f>ROUND($T$10*$E20,2)</f>
        <v>-0.26</v>
      </c>
      <c r="L20" s="29">
        <f>ROUND($T$11*$E20,2)</f>
        <v>0.02</v>
      </c>
      <c r="M20" s="29">
        <f>ROUND($T$12*$E20,2)</f>
        <v>0.77</v>
      </c>
      <c r="N20" s="29">
        <f>+G20+K20+L20+M20</f>
        <v>475.01625999999999</v>
      </c>
      <c r="O20" s="29">
        <f>+H20+K20+L20+M20</f>
        <v>486.56813499999998</v>
      </c>
      <c r="P20" s="54">
        <f>(O20-N20)/N20</f>
        <v>2.4318904367610483E-2</v>
      </c>
      <c r="S20" s="7">
        <f>+INPUT!$R$4</f>
        <v>240</v>
      </c>
      <c r="T20" s="20">
        <f>$T$17*E20</f>
        <v>15.886259999999998</v>
      </c>
      <c r="U20" s="406">
        <f>ROUND((($A$20*$U$17)+($A$20*(1506/55)*$U$18)),2)</f>
        <v>218.6</v>
      </c>
      <c r="V20" s="20"/>
      <c r="W20" s="20">
        <f>S20+T20+U20</f>
        <v>474.48626000000002</v>
      </c>
      <c r="X20" s="20"/>
      <c r="Y20" s="20"/>
      <c r="Z20" s="20"/>
      <c r="AA20" s="20"/>
      <c r="AB20" s="7">
        <f>INPUT!$R$26</f>
        <v>240.15187499999999</v>
      </c>
      <c r="AC20" s="20">
        <f>$AC$17*E20</f>
        <v>15.886259999999998</v>
      </c>
      <c r="AD20" s="406">
        <f>ROUND((($A$20*$AD$17)+($A$20*(1506/55)*$AD$18)),2)</f>
        <v>230</v>
      </c>
      <c r="AE20" s="20"/>
      <c r="AF20" s="20">
        <f>AB20+AC20+AD20</f>
        <v>486.03813500000001</v>
      </c>
      <c r="AG20" s="20"/>
      <c r="AH20" s="20"/>
      <c r="AI20" s="19">
        <f>AF20-W20</f>
        <v>11.551874999999995</v>
      </c>
      <c r="AJ20" s="18">
        <f>AF20/W20-1</f>
        <v>2.4346068524723874E-2</v>
      </c>
    </row>
    <row r="21" spans="1:41" x14ac:dyDescent="0.2">
      <c r="A21" s="1"/>
      <c r="C21" s="13">
        <v>0.5</v>
      </c>
      <c r="E21" s="1">
        <f>C21*($A$20*730)</f>
        <v>730</v>
      </c>
      <c r="G21" s="29">
        <f>+W21</f>
        <v>485.07709999999997</v>
      </c>
      <c r="H21" s="29">
        <f>+AF21</f>
        <v>496.62897499999997</v>
      </c>
      <c r="I21" s="29">
        <f>+H21-G21</f>
        <v>11.551874999999995</v>
      </c>
      <c r="J21" s="54">
        <f>ROUND(+I21/G21,4)</f>
        <v>2.3800000000000002E-2</v>
      </c>
      <c r="K21" s="29">
        <f>ROUND($T$10*$E21,2)</f>
        <v>-0.43</v>
      </c>
      <c r="L21" s="29">
        <f>ROUND($T$11*$E21,2)</f>
        <v>0.03</v>
      </c>
      <c r="M21" s="29">
        <f>ROUND($T$12*$E21,2)</f>
        <v>1.28</v>
      </c>
      <c r="N21" s="29">
        <f>+G21+K21+L21+M21</f>
        <v>485.95709999999991</v>
      </c>
      <c r="O21" s="29">
        <f>+H21+K21+L21+M21</f>
        <v>497.50897499999991</v>
      </c>
      <c r="P21" s="54">
        <f>(O21-N21)/N21</f>
        <v>2.3771388462067944E-2</v>
      </c>
      <c r="S21" s="7">
        <f>$S$20</f>
        <v>240</v>
      </c>
      <c r="T21" s="20">
        <f>$T$17*E21</f>
        <v>26.477099999999997</v>
      </c>
      <c r="U21" s="406">
        <f>ROUND((($A$20*$U$17)+($A$20*(1506/55)*$U$18)),2)</f>
        <v>218.6</v>
      </c>
      <c r="V21" s="20"/>
      <c r="W21" s="20">
        <f>S21+T21+U21</f>
        <v>485.07709999999997</v>
      </c>
      <c r="X21" s="20"/>
      <c r="Y21" s="20"/>
      <c r="Z21" s="20"/>
      <c r="AA21" s="20"/>
      <c r="AB21" s="7">
        <f>+$AB$20</f>
        <v>240.15187499999999</v>
      </c>
      <c r="AC21" s="20">
        <f>$AC$17*E21</f>
        <v>26.477099999999997</v>
      </c>
      <c r="AD21" s="406">
        <f t="shared" ref="AD21:AD22" si="0">ROUND((($A$20*$AD$17)+($A$20*(1506/55)*$AD$18)),2)</f>
        <v>230</v>
      </c>
      <c r="AE21" s="20"/>
      <c r="AF21" s="20">
        <f>AB21+AC21+AD21</f>
        <v>496.62897499999997</v>
      </c>
      <c r="AG21" s="20"/>
      <c r="AH21" s="20"/>
      <c r="AI21" s="19">
        <f>AF21-W21</f>
        <v>11.551874999999995</v>
      </c>
      <c r="AJ21" s="18">
        <f>AF21/W21-1</f>
        <v>2.3814513198004983E-2</v>
      </c>
    </row>
    <row r="22" spans="1:41" x14ac:dyDescent="0.2">
      <c r="A22" s="1"/>
      <c r="C22" s="13">
        <v>0.7</v>
      </c>
      <c r="E22" s="1">
        <f>C22*($A$20*730)</f>
        <v>1021.9999999999999</v>
      </c>
      <c r="G22" s="29">
        <f>+W22</f>
        <v>495.66794000000004</v>
      </c>
      <c r="H22" s="29">
        <f>+AF22</f>
        <v>507.21981499999998</v>
      </c>
      <c r="I22" s="29">
        <f>+H22-G22</f>
        <v>11.551874999999939</v>
      </c>
      <c r="J22" s="54">
        <f>ROUND(+I22/G22,4)</f>
        <v>2.3300000000000001E-2</v>
      </c>
      <c r="K22" s="29">
        <f>ROUND($T$10*$E22,2)</f>
        <v>-0.6</v>
      </c>
      <c r="L22" s="29">
        <f>ROUND($T$11*$E22,2)</f>
        <v>0.04</v>
      </c>
      <c r="M22" s="29">
        <f>ROUND($T$12*$E22,2)</f>
        <v>1.79</v>
      </c>
      <c r="N22" s="29">
        <f>+G22+K22+L22+M22</f>
        <v>496.89794000000006</v>
      </c>
      <c r="O22" s="29">
        <f>+H22+K22+L22+M22</f>
        <v>508.449815</v>
      </c>
      <c r="P22" s="54">
        <f>(O22-N22)/N22</f>
        <v>2.324798327801467E-2</v>
      </c>
      <c r="S22" s="7">
        <f>$S$20</f>
        <v>240</v>
      </c>
      <c r="T22" s="20">
        <f>$T$17*E22</f>
        <v>37.067939999999993</v>
      </c>
      <c r="U22" s="406">
        <f t="shared" ref="U22" si="1">ROUND((($A$20*$U$17)+($A$20*(1506/55)*$U$18)),2)</f>
        <v>218.6</v>
      </c>
      <c r="V22" s="20"/>
      <c r="W22" s="20">
        <f>S22+T22+U22</f>
        <v>495.66794000000004</v>
      </c>
      <c r="X22" s="20"/>
      <c r="Y22" s="20"/>
      <c r="Z22" s="20"/>
      <c r="AA22" s="20"/>
      <c r="AB22" s="7">
        <f>+$AB$20</f>
        <v>240.15187499999999</v>
      </c>
      <c r="AC22" s="20">
        <f>$AC$17*E22</f>
        <v>37.067939999999993</v>
      </c>
      <c r="AD22" s="406">
        <f t="shared" si="0"/>
        <v>230</v>
      </c>
      <c r="AE22" s="20"/>
      <c r="AF22" s="20">
        <f>AB22+AC22+AD22</f>
        <v>507.21981499999998</v>
      </c>
      <c r="AG22" s="20"/>
      <c r="AH22" s="20"/>
      <c r="AI22" s="19">
        <f>AF22-W22</f>
        <v>11.551874999999939</v>
      </c>
      <c r="AJ22" s="18">
        <f>AF22/W22-1</f>
        <v>2.3305673148842132E-2</v>
      </c>
    </row>
    <row r="23" spans="1:41" x14ac:dyDescent="0.2">
      <c r="A23" s="1"/>
      <c r="C23" s="13"/>
      <c r="E23" s="1"/>
      <c r="J23" s="5"/>
      <c r="P23" s="54"/>
      <c r="S23" s="7"/>
      <c r="T23" s="20"/>
      <c r="U23" s="406"/>
      <c r="V23" s="20"/>
      <c r="W23" s="20"/>
      <c r="X23" s="20"/>
      <c r="Y23" s="20"/>
      <c r="Z23" s="20"/>
      <c r="AA23" s="20"/>
      <c r="AB23" s="7"/>
      <c r="AC23" s="20"/>
      <c r="AD23" s="406"/>
      <c r="AE23" s="20"/>
      <c r="AF23" s="20"/>
      <c r="AG23" s="20"/>
      <c r="AH23" s="20"/>
      <c r="AI23" s="19"/>
      <c r="AJ23" s="18"/>
    </row>
    <row r="24" spans="1:41" x14ac:dyDescent="0.2">
      <c r="A24" s="1">
        <v>4</v>
      </c>
      <c r="C24" s="13">
        <v>0.3</v>
      </c>
      <c r="E24" s="1">
        <f>C24*($A$24*730)</f>
        <v>876</v>
      </c>
      <c r="G24" s="29">
        <f>+W24</f>
        <v>708.96252000000004</v>
      </c>
      <c r="H24" s="29">
        <f>+AF24</f>
        <v>731.924395</v>
      </c>
      <c r="I24" s="29">
        <f>+H24-G24</f>
        <v>22.961874999999964</v>
      </c>
      <c r="J24" s="54">
        <f>ROUND(+I24/G24,4)</f>
        <v>3.2399999999999998E-2</v>
      </c>
      <c r="K24" s="29">
        <f>ROUND($T$10*$E24,2)</f>
        <v>-0.51</v>
      </c>
      <c r="L24" s="29">
        <f>ROUND($T$11*$E24,2)</f>
        <v>0.04</v>
      </c>
      <c r="M24" s="29">
        <f>ROUND($T$12*$E24,2)</f>
        <v>1.53</v>
      </c>
      <c r="N24" s="29">
        <f>+G24+K24+L24+M24</f>
        <v>710.02251999999999</v>
      </c>
      <c r="O24" s="29">
        <f>+H24+K24+L24+M24</f>
        <v>732.98439499999995</v>
      </c>
      <c r="P24" s="54">
        <f>(O24-N24)/N24</f>
        <v>3.2339643255258954E-2</v>
      </c>
      <c r="S24" s="7">
        <f>$S$20</f>
        <v>240</v>
      </c>
      <c r="T24" s="20">
        <f>$T$17*E24</f>
        <v>31.772519999999997</v>
      </c>
      <c r="U24" s="406">
        <f>ROUND((($A$24*$U$17)+($A$24*(1506/55)*$U$18)),2)</f>
        <v>437.19</v>
      </c>
      <c r="V24" s="20"/>
      <c r="W24" s="20">
        <f>S24+T24+U24</f>
        <v>708.96252000000004</v>
      </c>
      <c r="X24" s="20"/>
      <c r="Y24" s="20"/>
      <c r="Z24" s="20"/>
      <c r="AA24" s="20"/>
      <c r="AB24" s="7">
        <f>+$AB$20</f>
        <v>240.15187499999999</v>
      </c>
      <c r="AC24" s="20">
        <f>$AC$17*E24</f>
        <v>31.772519999999997</v>
      </c>
      <c r="AD24" s="406">
        <f>ROUND((($A$24*$AD$17)+($A$24*(1506/55)*$AD$18)),2)</f>
        <v>460</v>
      </c>
      <c r="AE24" s="20"/>
      <c r="AF24" s="20">
        <f>AB24+AC24+AD24</f>
        <v>731.924395</v>
      </c>
      <c r="AG24" s="24"/>
      <c r="AH24" s="20"/>
      <c r="AI24" s="19">
        <f>AF24-W24</f>
        <v>22.961874999999964</v>
      </c>
      <c r="AJ24" s="18">
        <f>AF24/W24-1</f>
        <v>3.2387995630572819E-2</v>
      </c>
    </row>
    <row r="25" spans="1:41" x14ac:dyDescent="0.2">
      <c r="A25" s="1"/>
      <c r="C25" s="13">
        <v>0.5</v>
      </c>
      <c r="E25" s="1">
        <f>C25*($A$24*730)</f>
        <v>1460</v>
      </c>
      <c r="G25" s="29">
        <f>+W25</f>
        <v>730.14419999999996</v>
      </c>
      <c r="H25" s="29">
        <f>+AF25</f>
        <v>753.10607499999992</v>
      </c>
      <c r="I25" s="29">
        <f>+H25-G25</f>
        <v>22.961874999999964</v>
      </c>
      <c r="J25" s="54">
        <f>ROUND(+I25/G25,4)</f>
        <v>3.1399999999999997E-2</v>
      </c>
      <c r="K25" s="29">
        <f>ROUND($T$10*$E25,2)</f>
        <v>-0.85</v>
      </c>
      <c r="L25" s="29">
        <f>ROUND($T$11*$E25,2)</f>
        <v>0.06</v>
      </c>
      <c r="M25" s="29">
        <f>ROUND($T$12*$E25,2)</f>
        <v>2.56</v>
      </c>
      <c r="N25" s="29">
        <f>+G25+K25+L25+M25</f>
        <v>731.91419999999982</v>
      </c>
      <c r="O25" s="29">
        <f>+H25+K25+L25+M25</f>
        <v>754.87607499999979</v>
      </c>
      <c r="P25" s="54">
        <f>(O25-N25)/N25</f>
        <v>3.1372358945898259E-2</v>
      </c>
      <c r="S25" s="7">
        <f>$S$20</f>
        <v>240</v>
      </c>
      <c r="T25" s="20">
        <f>$T$17*E25</f>
        <v>52.954199999999993</v>
      </c>
      <c r="U25" s="406">
        <f t="shared" ref="U25:U26" si="2">ROUND((($A$24*$U$17)+($A$24*(1506/55)*$U$18)),2)</f>
        <v>437.19</v>
      </c>
      <c r="V25" s="20"/>
      <c r="W25" s="20">
        <f>S25+T25+U25</f>
        <v>730.14419999999996</v>
      </c>
      <c r="X25" s="20"/>
      <c r="Y25" s="20"/>
      <c r="Z25" s="20"/>
      <c r="AA25" s="20"/>
      <c r="AB25" s="7">
        <f>+$AB$20</f>
        <v>240.15187499999999</v>
      </c>
      <c r="AC25" s="20">
        <f>$AC$17*E25</f>
        <v>52.954199999999993</v>
      </c>
      <c r="AD25" s="406">
        <f t="shared" ref="AD25:AD26" si="3">ROUND((($A$24*$AD$17)+($A$24*(1506/55)*$AD$18)),2)</f>
        <v>460</v>
      </c>
      <c r="AE25" s="20"/>
      <c r="AF25" s="20">
        <f>AB25+AC25+AD25</f>
        <v>753.10607499999992</v>
      </c>
      <c r="AG25" s="24"/>
      <c r="AH25" s="20"/>
      <c r="AI25" s="19">
        <f>AF25-W25</f>
        <v>22.961874999999964</v>
      </c>
      <c r="AJ25" s="18">
        <f>AF25/W25-1</f>
        <v>3.1448411149468836E-2</v>
      </c>
    </row>
    <row r="26" spans="1:41" x14ac:dyDescent="0.2">
      <c r="A26" s="1"/>
      <c r="C26" s="13">
        <v>0.7</v>
      </c>
      <c r="E26" s="1">
        <f>C26*($A$24*730)</f>
        <v>2043.9999999999998</v>
      </c>
      <c r="G26" s="29">
        <f>+W26</f>
        <v>751.32587999999998</v>
      </c>
      <c r="H26" s="29">
        <f>+AF26</f>
        <v>774.28775499999995</v>
      </c>
      <c r="I26" s="29">
        <f>+H26-G26</f>
        <v>22.961874999999964</v>
      </c>
      <c r="J26" s="54">
        <f>ROUND(+I26/G26,4)</f>
        <v>3.0599999999999999E-2</v>
      </c>
      <c r="K26" s="29">
        <f>ROUND($T$10*$E26,2)</f>
        <v>-1.19</v>
      </c>
      <c r="L26" s="29">
        <f>ROUND($T$11*$E26,2)</f>
        <v>0.09</v>
      </c>
      <c r="M26" s="29">
        <f>ROUND($T$12*$E26,2)</f>
        <v>3.58</v>
      </c>
      <c r="N26" s="29">
        <f>+G26+K26+L26+M26</f>
        <v>753.80588</v>
      </c>
      <c r="O26" s="29">
        <f>+H26+K26+L26+M26</f>
        <v>776.76775499999997</v>
      </c>
      <c r="P26" s="54">
        <f>(O26-N26)/N26</f>
        <v>3.0461257479180135E-2</v>
      </c>
      <c r="S26" s="7">
        <f>$S$20</f>
        <v>240</v>
      </c>
      <c r="T26" s="20">
        <f>$T$17*E26</f>
        <v>74.135879999999986</v>
      </c>
      <c r="U26" s="406">
        <f t="shared" si="2"/>
        <v>437.19</v>
      </c>
      <c r="V26" s="20"/>
      <c r="W26" s="20">
        <f>S26+T26+U26</f>
        <v>751.32587999999998</v>
      </c>
      <c r="X26" s="20"/>
      <c r="Y26" s="20"/>
      <c r="Z26" s="20"/>
      <c r="AA26" s="20"/>
      <c r="AB26" s="7">
        <f>+$AB$20</f>
        <v>240.15187499999999</v>
      </c>
      <c r="AC26" s="20">
        <f>$AC$17*E26</f>
        <v>74.135879999999986</v>
      </c>
      <c r="AD26" s="406">
        <f t="shared" si="3"/>
        <v>460</v>
      </c>
      <c r="AE26" s="20"/>
      <c r="AF26" s="20">
        <f>AB26+AC26+AD26</f>
        <v>774.28775499999995</v>
      </c>
      <c r="AG26" s="20"/>
      <c r="AH26" s="20"/>
      <c r="AI26" s="19">
        <f>AF26-W26</f>
        <v>22.961874999999964</v>
      </c>
      <c r="AJ26" s="18">
        <f>AF26/W26-1</f>
        <v>3.056180495206684E-2</v>
      </c>
    </row>
    <row r="27" spans="1:41" x14ac:dyDescent="0.2">
      <c r="A27" s="1"/>
      <c r="C27" s="13"/>
      <c r="E27" s="1"/>
      <c r="J27" s="5"/>
      <c r="P27" s="54"/>
      <c r="S27" s="7"/>
      <c r="T27" s="20"/>
      <c r="U27" s="406"/>
      <c r="V27" s="20"/>
      <c r="W27" s="20"/>
      <c r="X27" s="20"/>
      <c r="Y27" s="20"/>
      <c r="Z27" s="20"/>
      <c r="AA27" s="20"/>
      <c r="AB27" s="7"/>
      <c r="AC27" s="20"/>
      <c r="AD27" s="406"/>
      <c r="AE27" s="20"/>
      <c r="AF27" s="20"/>
      <c r="AG27" s="20"/>
      <c r="AH27" s="20"/>
      <c r="AI27" s="19"/>
      <c r="AJ27" s="18"/>
    </row>
    <row r="28" spans="1:41" x14ac:dyDescent="0.2">
      <c r="A28" s="1">
        <v>6</v>
      </c>
      <c r="C28" s="13">
        <v>0.3</v>
      </c>
      <c r="E28" s="1">
        <f>C28*($A$28*730)</f>
        <v>1314</v>
      </c>
      <c r="G28" s="29">
        <f>+W28</f>
        <v>943.44877999999994</v>
      </c>
      <c r="H28" s="29">
        <f>+AF28</f>
        <v>977.82065499999999</v>
      </c>
      <c r="I28" s="29">
        <f>+H28-G28</f>
        <v>34.371875000000045</v>
      </c>
      <c r="J28" s="54">
        <f>ROUND(+I28/G28,4)</f>
        <v>3.6400000000000002E-2</v>
      </c>
      <c r="K28" s="29">
        <f>ROUND($T$10*$E28,2)</f>
        <v>-0.77</v>
      </c>
      <c r="L28" s="29">
        <f>ROUND($T$11*$E28,2)</f>
        <v>0.05</v>
      </c>
      <c r="M28" s="29">
        <f>ROUND($T$12*$E28,2)</f>
        <v>2.2999999999999998</v>
      </c>
      <c r="N28" s="29">
        <f>+G28+K28+L28+M28</f>
        <v>945.02877999999987</v>
      </c>
      <c r="O28" s="29">
        <f>+H28+K28+L28+M28</f>
        <v>979.40065499999992</v>
      </c>
      <c r="P28" s="54">
        <f>(O28-N28)/N28</f>
        <v>3.637124681007075E-2</v>
      </c>
      <c r="S28" s="7">
        <f>$S$20</f>
        <v>240</v>
      </c>
      <c r="T28" s="20">
        <f>$T$17*E28</f>
        <v>47.658779999999993</v>
      </c>
      <c r="U28" s="406">
        <f>ROUND((($A$28*$U$17)+($A$28*(1506/55)*$U$18)),2)</f>
        <v>655.79</v>
      </c>
      <c r="V28" s="20"/>
      <c r="W28" s="20">
        <f>S28+T28+U28</f>
        <v>943.44877999999994</v>
      </c>
      <c r="X28" s="20"/>
      <c r="Y28" s="20"/>
      <c r="Z28" s="20"/>
      <c r="AA28" s="20"/>
      <c r="AB28" s="7">
        <f>+$AB$20</f>
        <v>240.15187499999999</v>
      </c>
      <c r="AC28" s="20">
        <f>$AC$17*E28</f>
        <v>47.658779999999993</v>
      </c>
      <c r="AD28" s="406">
        <f>ROUND((($A$28*$AD$17)+($A$28*(1506/55)*$AD$18)),2)</f>
        <v>690.01</v>
      </c>
      <c r="AE28" s="20"/>
      <c r="AF28" s="20">
        <f>AB28+AC28+AD28</f>
        <v>977.82065499999999</v>
      </c>
      <c r="AG28" s="20"/>
      <c r="AH28" s="20"/>
      <c r="AI28" s="19">
        <f>AF28-W28</f>
        <v>34.371875000000045</v>
      </c>
      <c r="AJ28" s="18">
        <f>AF28/W28-1</f>
        <v>3.6432157981061808E-2</v>
      </c>
    </row>
    <row r="29" spans="1:41" x14ac:dyDescent="0.2">
      <c r="A29" s="1"/>
      <c r="C29" s="13">
        <v>0.5</v>
      </c>
      <c r="E29" s="1">
        <f>C29*($A$28*730)</f>
        <v>2190</v>
      </c>
      <c r="G29" s="29">
        <f>+W29</f>
        <v>975.22129999999993</v>
      </c>
      <c r="H29" s="29">
        <f>+AF29</f>
        <v>1009.593175</v>
      </c>
      <c r="I29" s="29">
        <f>+H29-G29</f>
        <v>34.371875000000045</v>
      </c>
      <c r="J29" s="54">
        <f>ROUND(+I29/G29,4)</f>
        <v>3.5200000000000002E-2</v>
      </c>
      <c r="K29" s="29">
        <f>ROUND($T$10*$E29,2)</f>
        <v>-1.28</v>
      </c>
      <c r="L29" s="29">
        <f>ROUND($T$11*$E29,2)</f>
        <v>0.09</v>
      </c>
      <c r="M29" s="29">
        <f>ROUND($T$12*$E29,2)</f>
        <v>3.83</v>
      </c>
      <c r="N29" s="29">
        <f>+G29+K29+L29+M29</f>
        <v>977.86130000000003</v>
      </c>
      <c r="O29" s="29">
        <f>+H29+K29+L29+M29</f>
        <v>1012.2331750000001</v>
      </c>
      <c r="P29" s="54">
        <f>(O29-N29)/N29</f>
        <v>3.515005144390114E-2</v>
      </c>
      <c r="S29" s="7">
        <f>$S$20</f>
        <v>240</v>
      </c>
      <c r="T29" s="20">
        <f>$T$17*E29</f>
        <v>79.431299999999993</v>
      </c>
      <c r="U29" s="406">
        <f t="shared" ref="U29:U30" si="4">ROUND((($A$28*$U$17)+($A$28*(1506/55)*$U$18)),2)</f>
        <v>655.79</v>
      </c>
      <c r="V29" s="20"/>
      <c r="W29" s="20">
        <f>S29+T29+U29</f>
        <v>975.22129999999993</v>
      </c>
      <c r="X29" s="20"/>
      <c r="Y29" s="20"/>
      <c r="Z29" s="20"/>
      <c r="AA29" s="20"/>
      <c r="AB29" s="7">
        <f>+$AB$20</f>
        <v>240.15187499999999</v>
      </c>
      <c r="AC29" s="20">
        <f>$AC$17*E29</f>
        <v>79.431299999999993</v>
      </c>
      <c r="AD29" s="406">
        <f t="shared" ref="AD29:AD30" si="5">ROUND((($A$28*$AD$17)+($A$28*(1506/55)*$AD$18)),2)</f>
        <v>690.01</v>
      </c>
      <c r="AE29" s="20"/>
      <c r="AF29" s="20">
        <f>AB29+AC29+AD29</f>
        <v>1009.593175</v>
      </c>
      <c r="AG29" s="20"/>
      <c r="AH29" s="20"/>
      <c r="AI29" s="19">
        <f>AF29-W29</f>
        <v>34.371875000000045</v>
      </c>
      <c r="AJ29" s="18">
        <f>AF29/W29-1</f>
        <v>3.5245205370309396E-2</v>
      </c>
    </row>
    <row r="30" spans="1:41" x14ac:dyDescent="0.2">
      <c r="A30" s="1"/>
      <c r="C30" s="13">
        <v>0.7</v>
      </c>
      <c r="E30" s="1">
        <f>C30*($A$28*730)</f>
        <v>3066</v>
      </c>
      <c r="G30" s="29">
        <f>+W30</f>
        <v>1006.9938199999999</v>
      </c>
      <c r="H30" s="29">
        <f>+AF30</f>
        <v>1041.365695</v>
      </c>
      <c r="I30" s="29">
        <f>+H30-G30</f>
        <v>34.371875000000045</v>
      </c>
      <c r="J30" s="54">
        <f>ROUND(+I30/G30,4)</f>
        <v>3.4099999999999998E-2</v>
      </c>
      <c r="K30" s="29">
        <f>ROUND($T$10*$E30,2)</f>
        <v>-1.79</v>
      </c>
      <c r="L30" s="29">
        <f>ROUND($T$11*$E30,2)</f>
        <v>0.13</v>
      </c>
      <c r="M30" s="29">
        <f>ROUND($T$12*$E30,2)</f>
        <v>5.37</v>
      </c>
      <c r="N30" s="29">
        <f>+G30+K30+L30+M30</f>
        <v>1010.70382</v>
      </c>
      <c r="O30" s="29">
        <f>+H30+K30+L30+M30</f>
        <v>1045.075695</v>
      </c>
      <c r="P30" s="54">
        <f>(O30-N30)/N30</f>
        <v>3.4007860977511739E-2</v>
      </c>
      <c r="S30" s="7">
        <f>$S$20</f>
        <v>240</v>
      </c>
      <c r="T30" s="20">
        <f>$T$17*E30</f>
        <v>111.20381999999999</v>
      </c>
      <c r="U30" s="406">
        <f t="shared" si="4"/>
        <v>655.79</v>
      </c>
      <c r="V30" s="20"/>
      <c r="W30" s="20">
        <f>S30+T30+U30</f>
        <v>1006.9938199999999</v>
      </c>
      <c r="X30" s="20"/>
      <c r="Y30" s="20"/>
      <c r="Z30" s="20"/>
      <c r="AA30" s="20"/>
      <c r="AB30" s="7">
        <f>+$AB$20</f>
        <v>240.15187499999999</v>
      </c>
      <c r="AC30" s="20">
        <f>$AC$17*E30</f>
        <v>111.20381999999999</v>
      </c>
      <c r="AD30" s="406">
        <f t="shared" si="5"/>
        <v>690.01</v>
      </c>
      <c r="AE30" s="20"/>
      <c r="AF30" s="20">
        <f>AB30+AC30+AD30</f>
        <v>1041.365695</v>
      </c>
      <c r="AG30" s="20"/>
      <c r="AH30" s="20"/>
      <c r="AI30" s="19">
        <f>AF30-W30</f>
        <v>34.371875000000045</v>
      </c>
      <c r="AJ30" s="18">
        <f>AF30/W30-1</f>
        <v>3.4133153865830046E-2</v>
      </c>
    </row>
    <row r="31" spans="1:41" x14ac:dyDescent="0.2">
      <c r="A31" s="1"/>
      <c r="C31" s="13"/>
      <c r="E31" s="1"/>
      <c r="J31" s="5"/>
      <c r="P31" s="54"/>
      <c r="S31" s="7"/>
      <c r="T31" s="20"/>
      <c r="U31" s="406"/>
      <c r="V31" s="20"/>
      <c r="W31" s="20"/>
      <c r="X31" s="20"/>
      <c r="Y31" s="20"/>
      <c r="Z31" s="20"/>
      <c r="AA31" s="20"/>
      <c r="AB31" s="7"/>
      <c r="AC31" s="20"/>
      <c r="AD31" s="406"/>
      <c r="AE31" s="20"/>
      <c r="AF31" s="20"/>
      <c r="AG31" s="20"/>
      <c r="AH31" s="20"/>
      <c r="AI31" s="19"/>
      <c r="AJ31" s="18"/>
    </row>
    <row r="32" spans="1:41" x14ac:dyDescent="0.2">
      <c r="A32" s="1">
        <v>8</v>
      </c>
      <c r="C32" s="13">
        <v>0.3</v>
      </c>
      <c r="E32" s="1">
        <f>C32*($A$32*730)</f>
        <v>1752</v>
      </c>
      <c r="G32" s="29">
        <f>+W32</f>
        <v>1177.9350399999998</v>
      </c>
      <c r="H32" s="29">
        <f>+AF32</f>
        <v>1223.706915</v>
      </c>
      <c r="I32" s="29">
        <f>+H32-G32</f>
        <v>45.771875000000136</v>
      </c>
      <c r="J32" s="54">
        <f>ROUND(+I32/G32,4)</f>
        <v>3.8899999999999997E-2</v>
      </c>
      <c r="K32" s="29">
        <f>ROUND($T$10*$E32,2)</f>
        <v>-1.02</v>
      </c>
      <c r="L32" s="29">
        <f>ROUND($T$11*$E32,2)</f>
        <v>7.0000000000000007E-2</v>
      </c>
      <c r="M32" s="29">
        <f>ROUND($T$12*$E32,2)</f>
        <v>3.07</v>
      </c>
      <c r="N32" s="29">
        <f>+G32+K32+L32+M32</f>
        <v>1180.0550399999997</v>
      </c>
      <c r="O32" s="29">
        <f>+H32+K32+L32+M32</f>
        <v>1225.8269149999999</v>
      </c>
      <c r="P32" s="54">
        <f>(O32-N32)/N32</f>
        <v>3.8787915350118031E-2</v>
      </c>
      <c r="S32" s="7">
        <f>$S$20</f>
        <v>240</v>
      </c>
      <c r="T32" s="20">
        <f>$T$17*E32</f>
        <v>63.545039999999993</v>
      </c>
      <c r="U32" s="406">
        <f>ROUND((($A$32*$U$17)+($A$32*(1506/55)*$U$18)),2)</f>
        <v>874.39</v>
      </c>
      <c r="V32" s="20"/>
      <c r="W32" s="20">
        <f>S32+T32+U32</f>
        <v>1177.9350399999998</v>
      </c>
      <c r="X32" s="20"/>
      <c r="Y32" s="20"/>
      <c r="Z32" s="20"/>
      <c r="AA32" s="20"/>
      <c r="AB32" s="7">
        <f>+$AB$20</f>
        <v>240.15187499999999</v>
      </c>
      <c r="AC32" s="20">
        <f>$AC$17*E32</f>
        <v>63.545039999999993</v>
      </c>
      <c r="AD32" s="406">
        <f>ROUND((($A$32*$AD$17)+($A$32*(1506/55)*$AD$18)),2)</f>
        <v>920.01</v>
      </c>
      <c r="AE32" s="20"/>
      <c r="AF32" s="20">
        <f>AB32+AC32+AD32</f>
        <v>1223.706915</v>
      </c>
      <c r="AG32" s="20"/>
      <c r="AH32" s="20"/>
      <c r="AI32" s="19">
        <f>AF32-W32</f>
        <v>45.771875000000136</v>
      </c>
      <c r="AJ32" s="18">
        <f>AF32/W32-1</f>
        <v>3.8857724276544214E-2</v>
      </c>
    </row>
    <row r="33" spans="1:36" x14ac:dyDescent="0.2">
      <c r="A33" s="1"/>
      <c r="C33" s="13">
        <v>0.5</v>
      </c>
      <c r="E33" s="1">
        <f>C33*($A$32*730)</f>
        <v>2920</v>
      </c>
      <c r="G33" s="29">
        <f>+W33</f>
        <v>1220.2983999999999</v>
      </c>
      <c r="H33" s="29">
        <f>+AF33</f>
        <v>1266.070275</v>
      </c>
      <c r="I33" s="29">
        <f>+H33-G33</f>
        <v>45.771875000000136</v>
      </c>
      <c r="J33" s="54">
        <f>ROUND(+I33/G33,4)</f>
        <v>3.7499999999999999E-2</v>
      </c>
      <c r="K33" s="29">
        <f>ROUND($T$10*$E33,2)</f>
        <v>-1.7</v>
      </c>
      <c r="L33" s="29">
        <f>ROUND($T$11*$E33,2)</f>
        <v>0.12</v>
      </c>
      <c r="M33" s="29">
        <f>ROUND($T$12*$E33,2)</f>
        <v>5.1100000000000003</v>
      </c>
      <c r="N33" s="29">
        <f>+G33+K33+L33+M33</f>
        <v>1223.8283999999996</v>
      </c>
      <c r="O33" s="29">
        <f>+H33+K33+L33+M33</f>
        <v>1269.6002749999998</v>
      </c>
      <c r="P33" s="54">
        <f>(O33-N33)/N33</f>
        <v>3.7400566125120278E-2</v>
      </c>
      <c r="S33" s="7">
        <f>$S$20</f>
        <v>240</v>
      </c>
      <c r="T33" s="20">
        <f>$T$17*E33</f>
        <v>105.90839999999999</v>
      </c>
      <c r="U33" s="406">
        <f t="shared" ref="U33:U34" si="6">ROUND((($A$32*$U$17)+($A$32*(1506/55)*$U$18)),2)</f>
        <v>874.39</v>
      </c>
      <c r="V33" s="20"/>
      <c r="W33" s="20">
        <f>S33+T33+U33</f>
        <v>1220.2983999999999</v>
      </c>
      <c r="X33" s="20"/>
      <c r="Y33" s="20"/>
      <c r="Z33" s="20"/>
      <c r="AA33" s="20"/>
      <c r="AB33" s="7">
        <f>+$AB$20</f>
        <v>240.15187499999999</v>
      </c>
      <c r="AC33" s="20">
        <f>$AC$17*E33</f>
        <v>105.90839999999999</v>
      </c>
      <c r="AD33" s="406">
        <f t="shared" ref="AD33:AD34" si="7">ROUND((($A$32*$AD$17)+($A$32*(1506/55)*$AD$18)),2)</f>
        <v>920.01</v>
      </c>
      <c r="AE33" s="20"/>
      <c r="AF33" s="20">
        <f>AB33+AC33+AD33</f>
        <v>1266.070275</v>
      </c>
      <c r="AG33" s="20"/>
      <c r="AH33" s="20"/>
      <c r="AI33" s="19">
        <f>AF33-W33</f>
        <v>45.771875000000136</v>
      </c>
      <c r="AJ33" s="18">
        <f>AF33/W33-1</f>
        <v>3.750875605507642E-2</v>
      </c>
    </row>
    <row r="34" spans="1:36" x14ac:dyDescent="0.2">
      <c r="A34" s="1"/>
      <c r="C34" s="13">
        <v>0.7</v>
      </c>
      <c r="E34" s="1">
        <f>C34*($A$32*730)</f>
        <v>4087.9999999999995</v>
      </c>
      <c r="G34" s="29">
        <f>+W34</f>
        <v>1262.66176</v>
      </c>
      <c r="H34" s="29">
        <f>+AF34</f>
        <v>1308.4336349999999</v>
      </c>
      <c r="I34" s="29">
        <f>+H34-G34</f>
        <v>45.771874999999909</v>
      </c>
      <c r="J34" s="54">
        <f>ROUND(+I34/G34,4)</f>
        <v>3.6299999999999999E-2</v>
      </c>
      <c r="K34" s="29">
        <f>ROUND($T$10*$E34,2)</f>
        <v>-2.38</v>
      </c>
      <c r="L34" s="29">
        <f>ROUND($T$11*$E34,2)</f>
        <v>0.17</v>
      </c>
      <c r="M34" s="29">
        <f>ROUND($T$12*$E34,2)</f>
        <v>7.15</v>
      </c>
      <c r="N34" s="29">
        <f>+G34+K34+L34+M34</f>
        <v>1267.60176</v>
      </c>
      <c r="O34" s="29">
        <f>+H34+K34+L34+M34</f>
        <v>1313.3736349999999</v>
      </c>
      <c r="P34" s="54">
        <f>(O34-N34)/N34</f>
        <v>3.6109033960318823E-2</v>
      </c>
      <c r="S34" s="7">
        <f>$S$20</f>
        <v>240</v>
      </c>
      <c r="T34" s="20">
        <f>$T$17*E34</f>
        <v>148.27175999999997</v>
      </c>
      <c r="U34" s="406">
        <f t="shared" si="6"/>
        <v>874.39</v>
      </c>
      <c r="V34" s="20"/>
      <c r="W34" s="20">
        <f>S34+T34+U34</f>
        <v>1262.66176</v>
      </c>
      <c r="X34" s="20"/>
      <c r="Y34" s="20"/>
      <c r="Z34" s="20"/>
      <c r="AA34" s="20"/>
      <c r="AB34" s="7">
        <f>+$AB$20</f>
        <v>240.15187499999999</v>
      </c>
      <c r="AC34" s="20">
        <f>$AC$17*E34</f>
        <v>148.27175999999997</v>
      </c>
      <c r="AD34" s="406">
        <f t="shared" si="7"/>
        <v>920.01</v>
      </c>
      <c r="AE34" s="20"/>
      <c r="AF34" s="20">
        <f>AB34+AC34+AD34</f>
        <v>1308.4336349999999</v>
      </c>
      <c r="AG34" s="20"/>
      <c r="AH34" s="20"/>
      <c r="AI34" s="19">
        <f>AF34-W34</f>
        <v>45.771874999999909</v>
      </c>
      <c r="AJ34" s="18">
        <f>AF34/W34-1</f>
        <v>3.6250305861800891E-2</v>
      </c>
    </row>
    <row r="35" spans="1:36" x14ac:dyDescent="0.2">
      <c r="A35" s="1"/>
      <c r="C35" s="13"/>
      <c r="E35" s="1"/>
      <c r="J35" s="5"/>
      <c r="P35" s="54"/>
      <c r="S35" s="7"/>
      <c r="T35" s="20"/>
      <c r="U35" s="406"/>
      <c r="V35" s="20"/>
      <c r="W35" s="20"/>
      <c r="X35" s="20"/>
      <c r="Y35" s="20"/>
      <c r="Z35" s="20"/>
      <c r="AA35" s="20"/>
      <c r="AB35" s="7"/>
      <c r="AC35" s="20"/>
      <c r="AD35" s="406"/>
      <c r="AE35" s="20"/>
      <c r="AF35" s="20"/>
      <c r="AG35" s="20"/>
      <c r="AH35" s="20"/>
      <c r="AI35" s="19"/>
      <c r="AJ35" s="18"/>
    </row>
    <row r="36" spans="1:36" x14ac:dyDescent="0.2">
      <c r="A36" s="1">
        <v>10</v>
      </c>
      <c r="C36" s="13">
        <v>0.3</v>
      </c>
      <c r="E36" s="1">
        <f>C36*($A$36*730)</f>
        <v>2190</v>
      </c>
      <c r="G36" s="29">
        <f>+W36</f>
        <v>1412.4213</v>
      </c>
      <c r="H36" s="29">
        <f>+AF36</f>
        <v>1469.593175</v>
      </c>
      <c r="I36" s="29">
        <f>+H36-G36</f>
        <v>57.171875</v>
      </c>
      <c r="J36" s="54">
        <f>ROUND(+I36/G36,4)</f>
        <v>4.0500000000000001E-2</v>
      </c>
      <c r="K36" s="29">
        <f>ROUND($T$10*$E36,2)</f>
        <v>-1.28</v>
      </c>
      <c r="L36" s="29">
        <f>ROUND($T$11*$E36,2)</f>
        <v>0.09</v>
      </c>
      <c r="M36" s="29">
        <f>ROUND($T$12*$E36,2)</f>
        <v>3.83</v>
      </c>
      <c r="N36" s="29">
        <f>+G36+K36+L36+M36</f>
        <v>1415.0612999999998</v>
      </c>
      <c r="O36" s="29">
        <f>+H36+K36+L36+M36</f>
        <v>1472.2331749999998</v>
      </c>
      <c r="P36" s="54">
        <f>(O36-N36)/N36</f>
        <v>4.0402401648607027E-2</v>
      </c>
      <c r="S36" s="7">
        <f>$S$20</f>
        <v>240</v>
      </c>
      <c r="T36" s="20">
        <f>$T$17*E36</f>
        <v>79.431299999999993</v>
      </c>
      <c r="U36" s="406">
        <f>ROUND((($A$36*$U$17)+($A$36*(1506/55)*$U$18)),2)</f>
        <v>1092.99</v>
      </c>
      <c r="V36" s="20"/>
      <c r="W36" s="20">
        <f>S36+T36+U36</f>
        <v>1412.4213</v>
      </c>
      <c r="X36" s="20"/>
      <c r="Y36" s="20"/>
      <c r="Z36" s="20"/>
      <c r="AA36" s="20"/>
      <c r="AB36" s="7">
        <f>+$AB$20</f>
        <v>240.15187499999999</v>
      </c>
      <c r="AC36" s="20">
        <f>$AC$17*E36</f>
        <v>79.431299999999993</v>
      </c>
      <c r="AD36" s="406">
        <f>ROUND((($A$36*$AD$17)+($A$36*(1506/55)*$AD$18)),2)</f>
        <v>1150.01</v>
      </c>
      <c r="AE36" s="20"/>
      <c r="AF36" s="20">
        <f>AB36+AC36+AD36</f>
        <v>1469.593175</v>
      </c>
      <c r="AG36" s="20"/>
      <c r="AH36" s="20"/>
      <c r="AI36" s="19">
        <f>AF36-W36</f>
        <v>57.171875</v>
      </c>
      <c r="AJ36" s="18">
        <f>AF36/W36-1</f>
        <v>4.0477919017505526E-2</v>
      </c>
    </row>
    <row r="37" spans="1:36" x14ac:dyDescent="0.2">
      <c r="A37" s="1"/>
      <c r="C37" s="13">
        <v>0.5</v>
      </c>
      <c r="E37" s="1">
        <f>C37*($A$36*730)</f>
        <v>3650</v>
      </c>
      <c r="G37" s="29">
        <f>+W37</f>
        <v>1465.3755000000001</v>
      </c>
      <c r="H37" s="29">
        <f>+AF37</f>
        <v>1522.5473750000001</v>
      </c>
      <c r="I37" s="29">
        <f>+H37-G37</f>
        <v>57.171875</v>
      </c>
      <c r="J37" s="54">
        <f>ROUND(+I37/G37,4)</f>
        <v>3.9E-2</v>
      </c>
      <c r="K37" s="29">
        <f>ROUND($T$10*$E37,2)</f>
        <v>-2.13</v>
      </c>
      <c r="L37" s="29">
        <f>ROUND($T$11*$E37,2)</f>
        <v>0.15</v>
      </c>
      <c r="M37" s="29">
        <f>ROUND($T$12*$E37,2)</f>
        <v>6.39</v>
      </c>
      <c r="N37" s="29">
        <f>+G37+K37+L37+M37</f>
        <v>1469.7855000000002</v>
      </c>
      <c r="O37" s="29">
        <f>+H37+K37+L37+M37</f>
        <v>1526.9573750000002</v>
      </c>
      <c r="P37" s="54">
        <f>(O37-N37)/N37</f>
        <v>3.8898107921189855E-2</v>
      </c>
      <c r="S37" s="7">
        <f>$S$20</f>
        <v>240</v>
      </c>
      <c r="T37" s="20">
        <f>$T$17*E37</f>
        <v>132.38549999999998</v>
      </c>
      <c r="U37" s="406">
        <f t="shared" ref="U37:U38" si="8">ROUND((($A$36*$U$17)+($A$36*(1506/55)*$U$18)),2)</f>
        <v>1092.99</v>
      </c>
      <c r="V37" s="20"/>
      <c r="W37" s="20">
        <f>S37+T37+U37</f>
        <v>1465.3755000000001</v>
      </c>
      <c r="X37" s="20"/>
      <c r="Y37" s="20"/>
      <c r="Z37" s="20"/>
      <c r="AA37" s="20"/>
      <c r="AB37" s="7">
        <f>+$AB$20</f>
        <v>240.15187499999999</v>
      </c>
      <c r="AC37" s="20">
        <f>$AC$17*E37</f>
        <v>132.38549999999998</v>
      </c>
      <c r="AD37" s="406">
        <f t="shared" ref="AD37:AD38" si="9">ROUND((($A$36*$AD$17)+($A$36*(1506/55)*$AD$18)),2)</f>
        <v>1150.01</v>
      </c>
      <c r="AE37" s="20"/>
      <c r="AF37" s="20">
        <f>AB37+AC37+AD37</f>
        <v>1522.5473750000001</v>
      </c>
      <c r="AG37" s="20"/>
      <c r="AH37" s="20"/>
      <c r="AI37" s="19">
        <f>AF37-W37</f>
        <v>57.171875</v>
      </c>
      <c r="AJ37" s="18">
        <f>AF37/W37-1</f>
        <v>3.9015170514315356E-2</v>
      </c>
    </row>
    <row r="38" spans="1:36" x14ac:dyDescent="0.2">
      <c r="A38" s="1"/>
      <c r="C38" s="13">
        <v>0.7</v>
      </c>
      <c r="E38" s="1">
        <f>C38*($A$36*730)</f>
        <v>5110</v>
      </c>
      <c r="G38" s="29">
        <f>+W38</f>
        <v>1518.3297</v>
      </c>
      <c r="H38" s="29">
        <f>+AF38</f>
        <v>1575.501575</v>
      </c>
      <c r="I38" s="29">
        <f>+H38-G38</f>
        <v>57.171875</v>
      </c>
      <c r="J38" s="54">
        <f>ROUND(+I38/G38,4)</f>
        <v>3.7699999999999997E-2</v>
      </c>
      <c r="K38" s="29">
        <f>ROUND($T$10*$E38,2)</f>
        <v>-2.98</v>
      </c>
      <c r="L38" s="29">
        <f>ROUND($T$11*$E38,2)</f>
        <v>0.21</v>
      </c>
      <c r="M38" s="29">
        <f>ROUND($T$12*$E38,2)</f>
        <v>8.94</v>
      </c>
      <c r="N38" s="29">
        <f>+G38+K38+L38+M38</f>
        <v>1524.4997000000001</v>
      </c>
      <c r="O38" s="29">
        <f>+H38+K38+L38+M38</f>
        <v>1581.6715750000001</v>
      </c>
      <c r="P38" s="54">
        <f>(O38-N38)/N38</f>
        <v>3.7502057232284135E-2</v>
      </c>
      <c r="S38" s="7">
        <f>$S$20</f>
        <v>240</v>
      </c>
      <c r="T38" s="20">
        <f>$T$17*E38</f>
        <v>185.33969999999999</v>
      </c>
      <c r="U38" s="406">
        <f t="shared" si="8"/>
        <v>1092.99</v>
      </c>
      <c r="V38" s="20"/>
      <c r="W38" s="20">
        <f>S38+T38+U38</f>
        <v>1518.3297</v>
      </c>
      <c r="X38" s="20"/>
      <c r="Y38" s="20"/>
      <c r="Z38" s="20"/>
      <c r="AA38" s="20"/>
      <c r="AB38" s="7">
        <f>+$AB$20</f>
        <v>240.15187499999999</v>
      </c>
      <c r="AC38" s="20">
        <f>$AC$17*E38</f>
        <v>185.33969999999999</v>
      </c>
      <c r="AD38" s="406">
        <f t="shared" si="9"/>
        <v>1150.01</v>
      </c>
      <c r="AE38" s="20"/>
      <c r="AF38" s="20">
        <f>AB38+AC38+AD38</f>
        <v>1575.501575</v>
      </c>
      <c r="AG38" s="20"/>
      <c r="AH38" s="20"/>
      <c r="AI38" s="19">
        <f>AF38-W38</f>
        <v>57.171875</v>
      </c>
      <c r="AJ38" s="18">
        <f>AF38/W38-1</f>
        <v>3.7654453443148661E-2</v>
      </c>
    </row>
    <row r="39" spans="1:36" x14ac:dyDescent="0.2">
      <c r="E39" s="1"/>
      <c r="L39" s="29"/>
      <c r="T39" s="20"/>
      <c r="U39" s="20"/>
      <c r="V39" s="20"/>
      <c r="W39" s="20"/>
      <c r="X39" s="20"/>
      <c r="Y39" s="20"/>
      <c r="Z39" s="20"/>
      <c r="AA39" s="20"/>
    </row>
    <row r="40" spans="1:36" x14ac:dyDescent="0.2">
      <c r="A40" s="17" t="s">
        <v>314</v>
      </c>
      <c r="T40" s="20"/>
      <c r="U40" s="20"/>
      <c r="V40" s="20"/>
      <c r="W40" s="20"/>
      <c r="X40" s="20"/>
      <c r="Y40" s="20"/>
      <c r="Z40" s="20"/>
      <c r="AA40" s="20"/>
    </row>
    <row r="41" spans="1:36" x14ac:dyDescent="0.2">
      <c r="A41" s="170" t="str">
        <f>("Average usage = "&amp;TEXT(INPUT!R20*1,"0,000")&amp;" kWh per month")</f>
        <v>Average usage = 0,000 kWh per month</v>
      </c>
      <c r="E41" s="1"/>
      <c r="H41" s="88" t="s">
        <v>317</v>
      </c>
      <c r="S41" s="7"/>
      <c r="T41" s="20"/>
      <c r="U41" s="12"/>
      <c r="W41" s="12"/>
      <c r="AA41" s="6"/>
      <c r="AC41" s="9"/>
    </row>
    <row r="42" spans="1:36" x14ac:dyDescent="0.2">
      <c r="A42" s="172" t="s">
        <v>508</v>
      </c>
      <c r="E42" s="1"/>
      <c r="S42" s="7"/>
      <c r="T42" s="20"/>
      <c r="U42" s="12"/>
      <c r="W42" s="12"/>
      <c r="AA42" s="6"/>
      <c r="AC42" s="9"/>
    </row>
    <row r="43" spans="1:36" x14ac:dyDescent="0.2">
      <c r="A43" s="171" t="s">
        <v>507</v>
      </c>
    </row>
    <row r="44" spans="1:36" x14ac:dyDescent="0.2">
      <c r="A44" s="171" t="str">
        <f>+'Rate Case Constants'!C26</f>
        <v>Calculations may vary from other schedules due to rounding</v>
      </c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75" right="0.75" top="1.5" bottom="0.5" header="1" footer="0.5"/>
  <pageSetup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C43"/>
  <sheetViews>
    <sheetView view="pageBreakPreview" zoomScale="90" zoomScaleNormal="80" zoomScaleSheetLayoutView="90" workbookViewId="0">
      <selection sqref="A1:L1"/>
    </sheetView>
  </sheetViews>
  <sheetFormatPr defaultColWidth="9.140625" defaultRowHeight="12.75" x14ac:dyDescent="0.2"/>
  <cols>
    <col min="1" max="1" width="10" style="17" customWidth="1"/>
    <col min="2" max="2" width="3.5703125" style="17" customWidth="1"/>
    <col min="3" max="5" width="10.140625" style="17" bestFit="1" customWidth="1"/>
    <col min="6" max="6" width="9.28515625" style="17" bestFit="1" customWidth="1"/>
    <col min="7" max="7" width="10.7109375" style="17" bestFit="1" customWidth="1"/>
    <col min="8" max="8" width="10" style="17" bestFit="1" customWidth="1"/>
    <col min="9" max="9" width="10" style="17" customWidth="1"/>
    <col min="10" max="11" width="10.5703125" style="17" bestFit="1" customWidth="1"/>
    <col min="12" max="12" width="9.28515625" style="17" bestFit="1" customWidth="1"/>
    <col min="13" max="14" width="3.7109375" style="17" customWidth="1"/>
    <col min="15" max="16" width="3.5703125" style="17" customWidth="1"/>
    <col min="17" max="17" width="11.85546875" style="17" customWidth="1"/>
    <col min="18" max="18" width="9.85546875" style="17" customWidth="1"/>
    <col min="19" max="19" width="9.5703125" style="17" customWidth="1"/>
    <col min="20" max="20" width="7.140625" style="17" customWidth="1"/>
    <col min="21" max="21" width="11.5703125" style="17" customWidth="1"/>
    <col min="22" max="22" width="9.5703125" style="17" customWidth="1"/>
    <col min="23" max="23" width="9.140625" style="17"/>
    <col min="24" max="25" width="3" style="17" customWidth="1"/>
    <col min="26" max="26" width="9.140625" style="17"/>
    <col min="27" max="27" width="2.7109375" style="17" customWidth="1"/>
    <col min="28" max="16384" width="9.140625" style="17"/>
  </cols>
  <sheetData>
    <row r="1" spans="1:29" x14ac:dyDescent="0.2">
      <c r="A1" s="426" t="str">
        <f>+'Rate Case Constants'!C9</f>
        <v>LOUISVILLE GAS AND ELECTRIC COMPANY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29" x14ac:dyDescent="0.2">
      <c r="A2" s="426" t="str">
        <f>+'Rate Case Constants'!C10</f>
        <v>CASE NO. 2018-00295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1:29" x14ac:dyDescent="0.2">
      <c r="A3" s="428" t="str">
        <f>+'Rate Case Constants'!C24</f>
        <v>Typical Bill Comparison under Present &amp; Proposed Rates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29" x14ac:dyDescent="0.2">
      <c r="A4" s="426" t="str">
        <f>+'Rate Case Constants'!C21</f>
        <v>FORECAST PERIOD FOR THE 12 MONTHS ENDED APRIL 30, 2020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29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29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9" x14ac:dyDescent="0.2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235" t="str">
        <f>+'Rate Case Constants'!C25</f>
        <v>SCHEDULE N</v>
      </c>
    </row>
    <row r="8" spans="1:29" x14ac:dyDescent="0.2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36" t="str">
        <f>+'Rate Case Constants'!L32</f>
        <v>PAGE 25 of 26</v>
      </c>
    </row>
    <row r="9" spans="1:29" x14ac:dyDescent="0.2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236" t="str">
        <f>+'Rate Case Constants'!C36</f>
        <v>WITNESS:   R. M. CONROY</v>
      </c>
    </row>
    <row r="10" spans="1:29" s="245" customFormat="1" x14ac:dyDescent="0.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Q10" s="246" t="s">
        <v>70</v>
      </c>
      <c r="R10" s="83">
        <f>+INPUT!$G$53</f>
        <v>-5.2974449835608282E-4</v>
      </c>
    </row>
    <row r="11" spans="1:29" x14ac:dyDescent="0.2">
      <c r="A11" s="182" t="s">
        <v>386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88"/>
      <c r="N11" s="88"/>
      <c r="O11" s="88"/>
      <c r="P11" s="88"/>
      <c r="Q11" s="83" t="s">
        <v>72</v>
      </c>
      <c r="R11" s="83">
        <f>+INPUT!$H$53</f>
        <v>1.8110305915478148E-3</v>
      </c>
      <c r="S11" s="88"/>
      <c r="T11" s="88"/>
      <c r="U11" s="101"/>
      <c r="V11" s="88"/>
      <c r="W11" s="88"/>
    </row>
    <row r="12" spans="1:29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3" t="s">
        <v>71</v>
      </c>
      <c r="R12" s="83">
        <f>+INPUT!$I$53</f>
        <v>4.3210112652019008E-3</v>
      </c>
      <c r="S12" s="88"/>
      <c r="T12" s="88"/>
      <c r="U12" s="88"/>
      <c r="V12" s="88"/>
      <c r="W12" s="88"/>
    </row>
    <row r="13" spans="1:29" x14ac:dyDescent="0.2">
      <c r="A13" s="88"/>
      <c r="B13" s="88"/>
      <c r="C13" s="164" t="s">
        <v>304</v>
      </c>
      <c r="D13" s="165" t="s">
        <v>305</v>
      </c>
      <c r="E13" s="165" t="s">
        <v>306</v>
      </c>
      <c r="F13" s="164" t="s">
        <v>307</v>
      </c>
      <c r="G13" s="164" t="s">
        <v>308</v>
      </c>
      <c r="H13" s="164" t="s">
        <v>309</v>
      </c>
      <c r="I13" s="165" t="s">
        <v>310</v>
      </c>
      <c r="J13" s="164" t="s">
        <v>311</v>
      </c>
      <c r="K13" s="164" t="s">
        <v>312</v>
      </c>
      <c r="L13" s="164" t="s">
        <v>313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9" x14ac:dyDescent="0.2">
      <c r="C14" s="231" t="s">
        <v>339</v>
      </c>
      <c r="D14" s="231" t="s">
        <v>339</v>
      </c>
      <c r="E14" s="168"/>
      <c r="F14" s="168"/>
      <c r="G14" s="168"/>
      <c r="H14" s="168"/>
      <c r="I14" s="168"/>
      <c r="J14" s="164" t="s">
        <v>5</v>
      </c>
      <c r="K14" s="164" t="s">
        <v>5</v>
      </c>
      <c r="L14" s="168"/>
      <c r="Q14" s="102" t="s">
        <v>60</v>
      </c>
      <c r="R14" s="102"/>
      <c r="S14" s="102"/>
      <c r="U14" s="102" t="s">
        <v>61</v>
      </c>
      <c r="V14" s="102"/>
      <c r="W14" s="102"/>
    </row>
    <row r="15" spans="1:29" x14ac:dyDescent="0.2">
      <c r="C15" s="164" t="s">
        <v>1</v>
      </c>
      <c r="D15" s="164" t="s">
        <v>73</v>
      </c>
      <c r="E15" s="164"/>
      <c r="F15" s="164"/>
      <c r="G15" s="424" t="s">
        <v>126</v>
      </c>
      <c r="H15" s="424"/>
      <c r="I15" s="425"/>
      <c r="J15" s="164" t="s">
        <v>1</v>
      </c>
      <c r="K15" s="164" t="s">
        <v>73</v>
      </c>
      <c r="L15" s="164"/>
      <c r="M15" s="322"/>
      <c r="N15" s="322"/>
      <c r="Q15" s="87" t="s">
        <v>63</v>
      </c>
      <c r="R15" s="322"/>
      <c r="S15" s="87"/>
      <c r="U15" s="87" t="s">
        <v>63</v>
      </c>
      <c r="V15" s="322"/>
      <c r="W15" s="87"/>
    </row>
    <row r="16" spans="1:29" x14ac:dyDescent="0.2">
      <c r="A16" s="322"/>
      <c r="B16" s="322"/>
      <c r="C16" s="164" t="s">
        <v>4</v>
      </c>
      <c r="D16" s="164" t="s">
        <v>4</v>
      </c>
      <c r="E16" s="164" t="s">
        <v>74</v>
      </c>
      <c r="F16" s="164" t="s">
        <v>74</v>
      </c>
      <c r="G16" s="164" t="s">
        <v>376</v>
      </c>
      <c r="H16" s="164" t="s">
        <v>72</v>
      </c>
      <c r="I16" s="164" t="s">
        <v>71</v>
      </c>
      <c r="J16" s="164" t="s">
        <v>4</v>
      </c>
      <c r="K16" s="164" t="s">
        <v>4</v>
      </c>
      <c r="L16" s="164" t="s">
        <v>74</v>
      </c>
      <c r="M16" s="322"/>
      <c r="N16" s="322"/>
      <c r="O16" s="322"/>
      <c r="P16" s="322"/>
      <c r="Q16" s="87" t="s">
        <v>62</v>
      </c>
      <c r="R16" s="322" t="s">
        <v>57</v>
      </c>
      <c r="S16" s="87" t="s">
        <v>5</v>
      </c>
      <c r="U16" s="87" t="s">
        <v>62</v>
      </c>
      <c r="V16" s="322" t="s">
        <v>57</v>
      </c>
      <c r="W16" s="87" t="s">
        <v>5</v>
      </c>
      <c r="Y16" s="83"/>
      <c r="Z16" s="322" t="s">
        <v>6</v>
      </c>
      <c r="AA16" s="322"/>
      <c r="AB16" s="322" t="s">
        <v>8</v>
      </c>
      <c r="AC16" s="322"/>
    </row>
    <row r="17" spans="1:29" x14ac:dyDescent="0.2">
      <c r="A17" s="322" t="s">
        <v>511</v>
      </c>
      <c r="B17" s="322"/>
      <c r="C17" s="164"/>
      <c r="D17" s="164"/>
      <c r="E17" s="164" t="s">
        <v>68</v>
      </c>
      <c r="F17" s="165" t="s">
        <v>69</v>
      </c>
      <c r="G17" s="166"/>
      <c r="H17" s="166"/>
      <c r="I17" s="167"/>
      <c r="J17" s="164" t="s">
        <v>68</v>
      </c>
      <c r="K17" s="164" t="s">
        <v>68</v>
      </c>
      <c r="L17" s="165" t="s">
        <v>69</v>
      </c>
      <c r="M17" s="322"/>
      <c r="N17" s="322"/>
      <c r="O17" s="322"/>
      <c r="P17" s="322"/>
      <c r="Q17" s="96" t="s">
        <v>3</v>
      </c>
      <c r="R17" s="97" t="s">
        <v>3</v>
      </c>
      <c r="S17" s="96" t="s">
        <v>4</v>
      </c>
      <c r="U17" s="96" t="s">
        <v>3</v>
      </c>
      <c r="V17" s="97" t="s">
        <v>3</v>
      </c>
      <c r="W17" s="96" t="s">
        <v>4</v>
      </c>
      <c r="Y17" s="83"/>
      <c r="Z17" s="322" t="s">
        <v>7</v>
      </c>
      <c r="AA17" s="322"/>
      <c r="AB17" s="322" t="s">
        <v>7</v>
      </c>
      <c r="AC17" s="322"/>
    </row>
    <row r="18" spans="1:29" x14ac:dyDescent="0.2">
      <c r="A18" s="97"/>
      <c r="B18" s="97"/>
      <c r="C18" s="321"/>
      <c r="D18" s="321"/>
      <c r="E18" s="321" t="str">
        <f>("[ "&amp;D13&amp;" - "&amp;C13&amp;" ]")</f>
        <v>[ B - A ]</v>
      </c>
      <c r="F18" s="321" t="str">
        <f>("[ "&amp;E13&amp;" / "&amp;C13&amp;" ]")</f>
        <v>[ C / A ]</v>
      </c>
      <c r="G18" s="262"/>
      <c r="H18" s="262"/>
      <c r="I18" s="262"/>
      <c r="J18" s="321" t="str">
        <f>("["&amp;C13&amp;"+"&amp;$G$13&amp;"+"&amp;$H$13&amp;"+"&amp;$I$13&amp;"]")</f>
        <v>[A+E+F+G]</v>
      </c>
      <c r="K18" s="321" t="str">
        <f>("["&amp;D13&amp;"+"&amp;$G$13&amp;"+"&amp;$H$13&amp;"+"&amp;$I$13&amp;"]")</f>
        <v>[B+E+F+G]</v>
      </c>
      <c r="L18" s="321" t="str">
        <f>("[("&amp;K13&amp;" - "&amp;J13&amp;")/"&amp;J13&amp;"]")</f>
        <v>[(I - H)/H]</v>
      </c>
      <c r="M18" s="322"/>
      <c r="N18" s="322"/>
      <c r="O18" s="322"/>
      <c r="P18" s="164"/>
      <c r="Q18" s="87"/>
      <c r="R18" s="103">
        <f>+INPUT!$S$6</f>
        <v>2.86</v>
      </c>
      <c r="S18" s="87"/>
      <c r="U18" s="87"/>
      <c r="V18" s="103">
        <f>INPUT!$S$28</f>
        <v>0.75</v>
      </c>
      <c r="W18" s="87"/>
      <c r="Y18" s="83"/>
      <c r="Z18" s="322"/>
      <c r="AA18" s="322"/>
      <c r="AB18" s="322"/>
      <c r="AC18" s="322"/>
    </row>
    <row r="19" spans="1:29" x14ac:dyDescent="0.2">
      <c r="A19" s="322"/>
      <c r="B19" s="322"/>
      <c r="C19" s="323"/>
      <c r="D19" s="323"/>
      <c r="E19" s="164"/>
      <c r="F19" s="164"/>
      <c r="G19" s="323"/>
      <c r="H19" s="323"/>
      <c r="I19" s="323"/>
      <c r="J19" s="164"/>
      <c r="K19" s="323"/>
      <c r="L19" s="164"/>
      <c r="M19" s="322"/>
      <c r="N19" s="322"/>
      <c r="O19" s="322"/>
      <c r="P19" s="322"/>
      <c r="Q19" s="87"/>
      <c r="R19" s="322" t="s">
        <v>510</v>
      </c>
      <c r="S19" s="87"/>
      <c r="U19" s="87"/>
      <c r="V19" s="103">
        <f>INPUT!$S$29</f>
        <v>1</v>
      </c>
      <c r="W19" s="87"/>
      <c r="Y19" s="83"/>
      <c r="Z19" s="322"/>
      <c r="AA19" s="322"/>
      <c r="AB19" s="322"/>
      <c r="AC19" s="322"/>
    </row>
    <row r="20" spans="1:29" x14ac:dyDescent="0.2">
      <c r="A20" s="322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R20" s="322"/>
      <c r="S20" s="322"/>
      <c r="V20" s="405" t="s">
        <v>510</v>
      </c>
      <c r="W20" s="322"/>
    </row>
    <row r="21" spans="1:29" x14ac:dyDescent="0.2">
      <c r="A21" s="82">
        <v>1</v>
      </c>
      <c r="C21" s="89">
        <f>+S21</f>
        <v>2.86</v>
      </c>
      <c r="D21" s="89">
        <f>+W21</f>
        <v>0.75</v>
      </c>
      <c r="E21" s="89">
        <f>+D21-C21</f>
        <v>-2.11</v>
      </c>
      <c r="F21" s="90">
        <f>ROUND(+E21/C21,4)</f>
        <v>-0.73780000000000001</v>
      </c>
      <c r="G21" s="89">
        <f>ROUND($R$10*$A21,2)</f>
        <v>0</v>
      </c>
      <c r="H21" s="89">
        <f>ROUND($R$11*$A21,2)</f>
        <v>0</v>
      </c>
      <c r="I21" s="89">
        <f>ROUND($R$12*$A21,2)</f>
        <v>0</v>
      </c>
      <c r="J21" s="89">
        <f>+C21+G21+H21+I21</f>
        <v>2.86</v>
      </c>
      <c r="K21" s="89">
        <f>+D21+G21+H21+I21</f>
        <v>0.75</v>
      </c>
      <c r="L21" s="90">
        <f>ROUND((K21-J21)/J21,4)</f>
        <v>-0.73780000000000001</v>
      </c>
      <c r="N21" s="104"/>
      <c r="Q21" s="40">
        <f>+INPUT!$S$4</f>
        <v>0</v>
      </c>
      <c r="R21" s="84">
        <f>A21*$R$18</f>
        <v>2.86</v>
      </c>
      <c r="S21" s="84">
        <f>Q21+R21</f>
        <v>2.86</v>
      </c>
      <c r="U21" s="40">
        <f>INPUT!$S$26</f>
        <v>0</v>
      </c>
      <c r="V21" s="84">
        <f>A21*$V$18</f>
        <v>0.75</v>
      </c>
      <c r="W21" s="84">
        <f>U21+V21</f>
        <v>0.75</v>
      </c>
      <c r="Z21" s="84">
        <f>W21-S21</f>
        <v>-2.11</v>
      </c>
      <c r="AB21" s="104">
        <f>W21/S21-1</f>
        <v>-0.7377622377622377</v>
      </c>
      <c r="AC21" s="104"/>
    </row>
    <row r="22" spans="1:29" x14ac:dyDescent="0.2">
      <c r="A22" s="82"/>
      <c r="Q22" s="40"/>
      <c r="R22" s="84"/>
      <c r="S22" s="84"/>
      <c r="U22" s="40"/>
      <c r="V22" s="84"/>
      <c r="W22" s="84"/>
      <c r="AB22" s="104"/>
      <c r="AC22" s="104"/>
    </row>
    <row r="23" spans="1:29" x14ac:dyDescent="0.2">
      <c r="A23" s="82">
        <v>2</v>
      </c>
      <c r="C23" s="89">
        <f>+S23</f>
        <v>5.72</v>
      </c>
      <c r="D23" s="89">
        <f>+W23</f>
        <v>1.5</v>
      </c>
      <c r="E23" s="89">
        <f>+D23-C23</f>
        <v>-4.22</v>
      </c>
      <c r="F23" s="90">
        <f>ROUND(+E23/C23,4)</f>
        <v>-0.73780000000000001</v>
      </c>
      <c r="G23" s="89">
        <f>ROUND($R$10*$A23,2)</f>
        <v>0</v>
      </c>
      <c r="H23" s="89">
        <f>ROUND($R$11*$A23,2)</f>
        <v>0</v>
      </c>
      <c r="I23" s="89">
        <f>ROUND($R$12*$A23,2)</f>
        <v>0.01</v>
      </c>
      <c r="J23" s="89">
        <f>+C23+G23+H23+I23</f>
        <v>5.7299999999999995</v>
      </c>
      <c r="K23" s="89">
        <f>+D23+G23+H23+I23</f>
        <v>1.51</v>
      </c>
      <c r="L23" s="90">
        <f>ROUND((K23-J23)/J23,4)</f>
        <v>-0.73650000000000004</v>
      </c>
      <c r="Q23" s="40">
        <f>$Q$21</f>
        <v>0</v>
      </c>
      <c r="R23" s="84">
        <f>A23*$R$18</f>
        <v>5.72</v>
      </c>
      <c r="S23" s="84">
        <f>Q23+R23</f>
        <v>5.72</v>
      </c>
      <c r="U23" s="40">
        <f>U$21</f>
        <v>0</v>
      </c>
      <c r="V23" s="84">
        <f>A23*$V$18</f>
        <v>1.5</v>
      </c>
      <c r="W23" s="84">
        <f>U23+V23</f>
        <v>1.5</v>
      </c>
      <c r="Z23" s="84">
        <f>W23-S23</f>
        <v>-4.22</v>
      </c>
      <c r="AB23" s="104">
        <f>W23/S23-1</f>
        <v>-0.7377622377622377</v>
      </c>
      <c r="AC23" s="104"/>
    </row>
    <row r="24" spans="1:29" x14ac:dyDescent="0.2">
      <c r="A24" s="82"/>
      <c r="C24" s="89"/>
      <c r="D24" s="89"/>
      <c r="E24" s="89"/>
      <c r="F24" s="90"/>
      <c r="G24" s="89"/>
      <c r="H24" s="89"/>
      <c r="I24" s="89"/>
      <c r="J24" s="89"/>
      <c r="K24" s="89"/>
      <c r="L24" s="90"/>
      <c r="Q24" s="105"/>
      <c r="R24" s="84"/>
      <c r="S24" s="84"/>
      <c r="U24" s="40"/>
      <c r="V24" s="84"/>
      <c r="W24" s="84"/>
      <c r="AB24" s="106"/>
      <c r="AC24" s="106"/>
    </row>
    <row r="25" spans="1:29" s="107" customFormat="1" x14ac:dyDescent="0.2">
      <c r="A25" s="82">
        <v>3</v>
      </c>
      <c r="C25" s="269">
        <f>+S25</f>
        <v>8.58</v>
      </c>
      <c r="D25" s="269">
        <f>+W25</f>
        <v>2.5</v>
      </c>
      <c r="E25" s="269">
        <f>+D25-C25</f>
        <v>-6.08</v>
      </c>
      <c r="F25" s="335">
        <f>ROUND(+E25/C25,4)</f>
        <v>-0.70860000000000001</v>
      </c>
      <c r="G25" s="269">
        <f>ROUND($R$10*$A25,2)</f>
        <v>0</v>
      </c>
      <c r="H25" s="269">
        <f>ROUND($R$11*$A25,2)</f>
        <v>0.01</v>
      </c>
      <c r="I25" s="269">
        <f>ROUND($R$12*$A25,2)</f>
        <v>0.01</v>
      </c>
      <c r="J25" s="269">
        <f>+C25+G25+H25+I25</f>
        <v>8.6</v>
      </c>
      <c r="K25" s="269">
        <f>+D25+G25+H25+I25</f>
        <v>2.5199999999999996</v>
      </c>
      <c r="L25" s="335">
        <f>ROUND((K25-J25)/J25,4)</f>
        <v>-0.70699999999999996</v>
      </c>
      <c r="M25" s="215"/>
      <c r="N25" s="215"/>
      <c r="Q25" s="105">
        <f>$Q$21</f>
        <v>0</v>
      </c>
      <c r="R25" s="84">
        <f>A25*$R$18</f>
        <v>8.58</v>
      </c>
      <c r="S25" s="108">
        <f>Q25+R25</f>
        <v>8.58</v>
      </c>
      <c r="U25" s="40">
        <f>U$21</f>
        <v>0</v>
      </c>
      <c r="V25" s="84">
        <f>$A$23*$V$18+$V$19*A21</f>
        <v>2.5</v>
      </c>
      <c r="W25" s="108">
        <f>U25+V25</f>
        <v>2.5</v>
      </c>
      <c r="Z25" s="108">
        <f>W25-S25</f>
        <v>-6.08</v>
      </c>
      <c r="AB25" s="106">
        <f>W25/S25-1</f>
        <v>-0.70862470862470861</v>
      </c>
      <c r="AC25" s="106"/>
    </row>
    <row r="26" spans="1:29" x14ac:dyDescent="0.2">
      <c r="A26" s="82"/>
      <c r="K26" s="89"/>
      <c r="Q26" s="40"/>
      <c r="R26" s="84"/>
      <c r="S26" s="84"/>
      <c r="U26" s="40"/>
      <c r="V26" s="84"/>
      <c r="W26" s="84"/>
      <c r="AB26" s="104"/>
      <c r="AC26" s="104"/>
    </row>
    <row r="27" spans="1:29" x14ac:dyDescent="0.2">
      <c r="A27" s="82">
        <v>4</v>
      </c>
      <c r="C27" s="89">
        <f>+S27</f>
        <v>11.44</v>
      </c>
      <c r="D27" s="89">
        <f>+W27</f>
        <v>3.5</v>
      </c>
      <c r="E27" s="89">
        <f>+D27-C27</f>
        <v>-7.9399999999999995</v>
      </c>
      <c r="F27" s="90">
        <f>ROUND(+E27/C27,4)</f>
        <v>-0.69410000000000005</v>
      </c>
      <c r="G27" s="89">
        <f>ROUND($R$10*$A27,2)</f>
        <v>0</v>
      </c>
      <c r="H27" s="89">
        <f>ROUND($R$11*$A27,2)</f>
        <v>0.01</v>
      </c>
      <c r="I27" s="89">
        <f>ROUND($R$12*$A27,2)</f>
        <v>0.02</v>
      </c>
      <c r="J27" s="89">
        <f>+C27+G27+H27+I27</f>
        <v>11.469999999999999</v>
      </c>
      <c r="K27" s="89">
        <f>+D27+G27+H27+I27</f>
        <v>3.53</v>
      </c>
      <c r="L27" s="90">
        <f>ROUND((K27-J27)/J27,4)</f>
        <v>-0.69220000000000004</v>
      </c>
      <c r="M27" s="107"/>
      <c r="N27" s="107"/>
      <c r="O27" s="107"/>
      <c r="P27" s="107"/>
      <c r="Q27" s="105">
        <f>$Q$21</f>
        <v>0</v>
      </c>
      <c r="R27" s="84">
        <f>A27*$R$18</f>
        <v>11.44</v>
      </c>
      <c r="S27" s="108">
        <f>Q27+R27</f>
        <v>11.44</v>
      </c>
      <c r="T27" s="107"/>
      <c r="U27" s="40">
        <f>U$21</f>
        <v>0</v>
      </c>
      <c r="V27" s="84">
        <f>$A$23*$V$18+$V$19*A23</f>
        <v>3.5</v>
      </c>
      <c r="W27" s="108">
        <f>U27+V27</f>
        <v>3.5</v>
      </c>
      <c r="X27" s="107"/>
      <c r="Y27" s="107"/>
      <c r="Z27" s="108">
        <f>W27-S27</f>
        <v>-7.9399999999999995</v>
      </c>
      <c r="AA27" s="107"/>
      <c r="AB27" s="106">
        <f>W27/S27-1</f>
        <v>-0.69405594405594406</v>
      </c>
      <c r="AC27" s="104"/>
    </row>
    <row r="28" spans="1:29" x14ac:dyDescent="0.2">
      <c r="A28" s="82"/>
      <c r="Q28" s="40"/>
      <c r="R28" s="84"/>
      <c r="S28" s="84"/>
      <c r="U28" s="40"/>
      <c r="V28" s="84"/>
      <c r="W28" s="84"/>
      <c r="AB28" s="104"/>
      <c r="AC28" s="104"/>
    </row>
    <row r="29" spans="1:29" x14ac:dyDescent="0.2">
      <c r="A29" s="82">
        <v>5</v>
      </c>
      <c r="C29" s="89">
        <f>+S29</f>
        <v>14.299999999999999</v>
      </c>
      <c r="D29" s="89">
        <f>+W29</f>
        <v>4.5</v>
      </c>
      <c r="E29" s="89">
        <f>+D29-C29</f>
        <v>-9.7999999999999989</v>
      </c>
      <c r="F29" s="90">
        <f>ROUND(+E29/C29,4)</f>
        <v>-0.68530000000000002</v>
      </c>
      <c r="G29" s="89">
        <f>ROUND($R$10*$A29,2)</f>
        <v>0</v>
      </c>
      <c r="H29" s="89">
        <f>ROUND($R$11*$A29,2)</f>
        <v>0.01</v>
      </c>
      <c r="I29" s="89">
        <f>ROUND($R$12*$A29,2)</f>
        <v>0.02</v>
      </c>
      <c r="J29" s="89">
        <f>+C29+G29+H29+I29</f>
        <v>14.329999999999998</v>
      </c>
      <c r="K29" s="89">
        <f>+D29+G29+H29+I29</f>
        <v>4.5299999999999994</v>
      </c>
      <c r="L29" s="90">
        <f>ROUND((K29-J29)/J29,4)</f>
        <v>-0.68389999999999995</v>
      </c>
      <c r="Q29" s="40">
        <f>$Q$21</f>
        <v>0</v>
      </c>
      <c r="R29" s="84">
        <f>A29*$R$18</f>
        <v>14.299999999999999</v>
      </c>
      <c r="S29" s="84">
        <f>Q29+R29</f>
        <v>14.299999999999999</v>
      </c>
      <c r="U29" s="40">
        <f>U$21</f>
        <v>0</v>
      </c>
      <c r="V29" s="84">
        <f>$A$23*$V$18+$V$19*A25</f>
        <v>4.5</v>
      </c>
      <c r="W29" s="84">
        <f>U29+V29</f>
        <v>4.5</v>
      </c>
      <c r="Z29" s="84">
        <f>W29-S29</f>
        <v>-9.7999999999999989</v>
      </c>
      <c r="AB29" s="104">
        <f>W29/S29-1</f>
        <v>-0.68531468531468531</v>
      </c>
      <c r="AC29" s="104"/>
    </row>
    <row r="30" spans="1:29" x14ac:dyDescent="0.2">
      <c r="Q30" s="40"/>
      <c r="R30" s="84"/>
      <c r="S30" s="84"/>
      <c r="U30" s="40"/>
      <c r="V30" s="84"/>
      <c r="W30" s="84"/>
      <c r="AB30" s="104"/>
      <c r="AC30" s="104"/>
    </row>
    <row r="31" spans="1:29" x14ac:dyDescent="0.2">
      <c r="A31" s="82">
        <v>6</v>
      </c>
      <c r="C31" s="89">
        <f>+S31</f>
        <v>17.16</v>
      </c>
      <c r="D31" s="89">
        <f>+W31</f>
        <v>5.5</v>
      </c>
      <c r="E31" s="89">
        <f>+D31-C31</f>
        <v>-11.66</v>
      </c>
      <c r="F31" s="90">
        <f>ROUND(+E31/C31,4)</f>
        <v>-0.67949999999999999</v>
      </c>
      <c r="G31" s="89">
        <f>ROUND($R$10*$A31,2)</f>
        <v>0</v>
      </c>
      <c r="H31" s="89">
        <f>ROUND($R$11*$A31,2)</f>
        <v>0.01</v>
      </c>
      <c r="I31" s="89">
        <f>ROUND($R$12*$A31,2)</f>
        <v>0.03</v>
      </c>
      <c r="J31" s="89">
        <f>+C31+G31+H31+I31</f>
        <v>17.200000000000003</v>
      </c>
      <c r="K31" s="89">
        <f>+D31+G31+H31+I31</f>
        <v>5.54</v>
      </c>
      <c r="L31" s="90">
        <f>ROUND((K31-J31)/J31,4)</f>
        <v>-0.67789999999999995</v>
      </c>
      <c r="Q31" s="40">
        <f>$Q$21</f>
        <v>0</v>
      </c>
      <c r="R31" s="84">
        <f>A31*$R$18</f>
        <v>17.16</v>
      </c>
      <c r="S31" s="84">
        <f>Q31+R31</f>
        <v>17.16</v>
      </c>
      <c r="U31" s="40">
        <f>U$21</f>
        <v>0</v>
      </c>
      <c r="V31" s="84">
        <f>$A$23*$V$18+$V$19*A27</f>
        <v>5.5</v>
      </c>
      <c r="W31" s="84">
        <f>U31+V31</f>
        <v>5.5</v>
      </c>
      <c r="Z31" s="84">
        <f>W31-S31</f>
        <v>-11.66</v>
      </c>
      <c r="AB31" s="104">
        <f>W31/S31-1</f>
        <v>-0.67948717948717952</v>
      </c>
      <c r="AC31" s="104"/>
    </row>
    <row r="32" spans="1:29" x14ac:dyDescent="0.2">
      <c r="A32" s="82"/>
      <c r="Q32" s="40"/>
      <c r="R32" s="84"/>
      <c r="S32" s="84"/>
      <c r="U32" s="40"/>
      <c r="V32" s="84"/>
      <c r="W32" s="84"/>
      <c r="AB32" s="104"/>
      <c r="AC32" s="104"/>
    </row>
    <row r="33" spans="1:29" x14ac:dyDescent="0.2">
      <c r="A33" s="82">
        <v>7</v>
      </c>
      <c r="C33" s="89">
        <f>+S33</f>
        <v>20.02</v>
      </c>
      <c r="D33" s="89">
        <f>+W33</f>
        <v>6.5</v>
      </c>
      <c r="E33" s="89">
        <f>+D33-C33</f>
        <v>-13.52</v>
      </c>
      <c r="F33" s="90">
        <f>ROUND(+E33/C33,4)</f>
        <v>-0.67530000000000001</v>
      </c>
      <c r="G33" s="89">
        <f>ROUND($R$10*$A33,2)</f>
        <v>0</v>
      </c>
      <c r="H33" s="89">
        <f>ROUND($R$11*$A33,2)</f>
        <v>0.01</v>
      </c>
      <c r="I33" s="89">
        <f>ROUND($R$12*$A33,2)</f>
        <v>0.03</v>
      </c>
      <c r="J33" s="89">
        <f>+C33+G33+H33+I33</f>
        <v>20.060000000000002</v>
      </c>
      <c r="K33" s="89">
        <f>+D33+G33+H33+I33</f>
        <v>6.54</v>
      </c>
      <c r="L33" s="90">
        <f>ROUND((K33-J33)/J33,4)</f>
        <v>-0.67400000000000004</v>
      </c>
      <c r="Q33" s="40">
        <f>$Q$21</f>
        <v>0</v>
      </c>
      <c r="R33" s="84">
        <f>A33*$R$18</f>
        <v>20.02</v>
      </c>
      <c r="S33" s="84">
        <f>Q33+R33</f>
        <v>20.02</v>
      </c>
      <c r="U33" s="40">
        <f>U$21</f>
        <v>0</v>
      </c>
      <c r="V33" s="84">
        <f>$A$23*$V$18+$V$19*A29</f>
        <v>6.5</v>
      </c>
      <c r="W33" s="84">
        <f>U33+V33</f>
        <v>6.5</v>
      </c>
      <c r="Z33" s="84">
        <f>W33-S33</f>
        <v>-13.52</v>
      </c>
      <c r="AB33" s="104">
        <f>W33/S33-1</f>
        <v>-0.67532467532467533</v>
      </c>
      <c r="AC33" s="104"/>
    </row>
    <row r="34" spans="1:29" x14ac:dyDescent="0.2">
      <c r="Q34" s="40"/>
      <c r="R34" s="84"/>
      <c r="S34" s="84"/>
      <c r="U34" s="40"/>
      <c r="V34" s="84"/>
      <c r="W34" s="84"/>
      <c r="AB34" s="104"/>
      <c r="AC34" s="104"/>
    </row>
    <row r="35" spans="1:29" x14ac:dyDescent="0.2">
      <c r="A35" s="82">
        <v>8</v>
      </c>
      <c r="C35" s="89">
        <f>+S35</f>
        <v>22.88</v>
      </c>
      <c r="D35" s="89">
        <f>+W35</f>
        <v>7.5</v>
      </c>
      <c r="E35" s="89">
        <f>+D35-C35</f>
        <v>-15.379999999999999</v>
      </c>
      <c r="F35" s="90">
        <f>ROUND(+E35/C35,4)</f>
        <v>-0.67220000000000002</v>
      </c>
      <c r="G35" s="89">
        <f>ROUND($R$10*$A35,2)</f>
        <v>0</v>
      </c>
      <c r="H35" s="89">
        <f>ROUND($R$11*$A35,2)</f>
        <v>0.01</v>
      </c>
      <c r="I35" s="89">
        <f>ROUND($R$12*$A35,2)</f>
        <v>0.03</v>
      </c>
      <c r="J35" s="89">
        <f>+C35+G35+H35+I35</f>
        <v>22.92</v>
      </c>
      <c r="K35" s="89">
        <f>+D35+G35+H35+I35</f>
        <v>7.54</v>
      </c>
      <c r="L35" s="90">
        <f>ROUND((K35-J35)/J35,4)</f>
        <v>-0.67100000000000004</v>
      </c>
      <c r="Q35" s="40">
        <f>$Q$21</f>
        <v>0</v>
      </c>
      <c r="R35" s="84">
        <f>A35*$R$18</f>
        <v>22.88</v>
      </c>
      <c r="S35" s="84">
        <f>Q35+R35</f>
        <v>22.88</v>
      </c>
      <c r="U35" s="40">
        <f>U$21</f>
        <v>0</v>
      </c>
      <c r="V35" s="84">
        <f>$A$23*$V$18+$V$19*A31</f>
        <v>7.5</v>
      </c>
      <c r="W35" s="84">
        <f>U35+V35</f>
        <v>7.5</v>
      </c>
      <c r="Z35" s="84">
        <f>W35-S35</f>
        <v>-15.379999999999999</v>
      </c>
      <c r="AB35" s="104">
        <f>W35/S35-1</f>
        <v>-0.67220279720279719</v>
      </c>
      <c r="AC35" s="104"/>
    </row>
    <row r="36" spans="1:29" x14ac:dyDescent="0.2">
      <c r="A36" s="82"/>
      <c r="C36" s="89"/>
      <c r="D36" s="89"/>
      <c r="E36" s="89"/>
      <c r="F36" s="90"/>
      <c r="G36" s="89"/>
      <c r="H36" s="89"/>
      <c r="I36" s="89"/>
      <c r="J36" s="89"/>
      <c r="K36" s="89"/>
      <c r="L36" s="90"/>
      <c r="Q36" s="40"/>
      <c r="R36" s="84"/>
      <c r="S36" s="84"/>
      <c r="U36" s="40"/>
      <c r="V36" s="84"/>
      <c r="W36" s="84"/>
      <c r="Z36" s="84"/>
      <c r="AB36" s="104"/>
      <c r="AC36" s="104"/>
    </row>
    <row r="37" spans="1:29" x14ac:dyDescent="0.2">
      <c r="A37" s="17" t="s">
        <v>314</v>
      </c>
      <c r="Q37" s="40"/>
      <c r="R37" s="84"/>
      <c r="S37" s="84"/>
      <c r="U37" s="40"/>
      <c r="V37" s="84"/>
      <c r="W37" s="84"/>
      <c r="AB37" s="104"/>
      <c r="AC37" s="104"/>
    </row>
    <row r="38" spans="1:29" x14ac:dyDescent="0.2">
      <c r="A38" s="170" t="str">
        <f>("Average usage = "&amp;INPUT!S20&amp;" kWh per month")</f>
        <v>Average usage = 5 kWh per month</v>
      </c>
      <c r="Q38" s="40"/>
    </row>
    <row r="39" spans="1:29" x14ac:dyDescent="0.2">
      <c r="A39" s="172" t="s">
        <v>315</v>
      </c>
    </row>
    <row r="40" spans="1:29" x14ac:dyDescent="0.2">
      <c r="A40" s="172" t="str">
        <f>+'Rate Case Constants'!C26</f>
        <v>Calculations may vary from other schedules due to rounding</v>
      </c>
    </row>
    <row r="43" spans="1:29" ht="12" customHeight="1" x14ac:dyDescent="0.2"/>
  </sheetData>
  <mergeCells count="5">
    <mergeCell ref="A1:L1"/>
    <mergeCell ref="A2:L2"/>
    <mergeCell ref="A3:L3"/>
    <mergeCell ref="A4:L4"/>
    <mergeCell ref="G15:I15"/>
  </mergeCells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4"/>
  <sheetViews>
    <sheetView view="pageBreakPreview" zoomScale="90" zoomScaleNormal="80" zoomScaleSheetLayoutView="90" workbookViewId="0">
      <selection sqref="A1:H1"/>
    </sheetView>
  </sheetViews>
  <sheetFormatPr defaultRowHeight="12.75" x14ac:dyDescent="0.2"/>
  <cols>
    <col min="1" max="1" width="26.85546875" customWidth="1"/>
    <col min="2" max="2" width="3.5703125" customWidth="1"/>
    <col min="3" max="4" width="13.140625" customWidth="1"/>
    <col min="5" max="5" width="12.85546875" bestFit="1" customWidth="1"/>
    <col min="6" max="6" width="9.28515625" bestFit="1" customWidth="1"/>
    <col min="7" max="7" width="6.42578125" customWidth="1"/>
    <col min="8" max="8" width="7.85546875" customWidth="1"/>
    <col min="9" max="9" width="11.28515625" customWidth="1"/>
    <col min="10" max="10" width="3.5703125" customWidth="1"/>
    <col min="11" max="11" width="11.85546875" customWidth="1"/>
    <col min="12" max="12" width="9.28515625" bestFit="1" customWidth="1"/>
    <col min="13" max="13" width="12" bestFit="1" customWidth="1"/>
    <col min="14" max="14" width="7.140625" customWidth="1"/>
    <col min="15" max="15" width="12" bestFit="1" customWidth="1"/>
    <col min="16" max="16" width="9.28515625" bestFit="1" customWidth="1"/>
    <col min="17" max="17" width="12" bestFit="1" customWidth="1"/>
    <col min="18" max="19" width="3" customWidth="1"/>
    <col min="20" max="20" width="10.42578125" bestFit="1" customWidth="1"/>
    <col min="21" max="21" width="2.7109375" customWidth="1"/>
  </cols>
  <sheetData>
    <row r="1" spans="1:23" x14ac:dyDescent="0.2">
      <c r="A1" s="429" t="str">
        <f>+'Rate Case Constants'!C9</f>
        <v>LOUISVILLE GAS AND ELECTRIC COMPANY</v>
      </c>
      <c r="B1" s="429"/>
      <c r="C1" s="429"/>
      <c r="D1" s="429"/>
      <c r="E1" s="429"/>
      <c r="F1" s="429"/>
      <c r="G1" s="429"/>
      <c r="H1" s="429"/>
    </row>
    <row r="2" spans="1:23" x14ac:dyDescent="0.2">
      <c r="A2" s="429" t="str">
        <f>+'Rate Case Constants'!C10</f>
        <v>CASE NO. 2018-00295</v>
      </c>
      <c r="B2" s="429"/>
      <c r="C2" s="429"/>
      <c r="D2" s="429"/>
      <c r="E2" s="429"/>
      <c r="F2" s="429"/>
      <c r="G2" s="429"/>
      <c r="H2" s="429"/>
    </row>
    <row r="3" spans="1:23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</row>
    <row r="4" spans="1:23" x14ac:dyDescent="0.2">
      <c r="A4" s="429" t="str">
        <f>+'Rate Case Constants'!C21</f>
        <v>FORECAST PERIOD FOR THE 12 MONTHS ENDED APRIL 30, 2020</v>
      </c>
      <c r="B4" s="429"/>
      <c r="C4" s="429"/>
      <c r="D4" s="429"/>
      <c r="E4" s="429"/>
      <c r="F4" s="429"/>
      <c r="G4" s="429"/>
      <c r="H4" s="429"/>
    </row>
    <row r="5" spans="1:23" x14ac:dyDescent="0.2">
      <c r="A5" s="249"/>
      <c r="B5" s="249"/>
      <c r="C5" s="249"/>
      <c r="D5" s="249"/>
      <c r="E5" s="249"/>
      <c r="F5" s="249"/>
      <c r="G5" s="249"/>
      <c r="H5" s="249"/>
    </row>
    <row r="6" spans="1:23" x14ac:dyDescent="0.2">
      <c r="A6" s="249"/>
      <c r="B6" s="249"/>
      <c r="C6" s="249"/>
      <c r="D6" s="249"/>
      <c r="E6" s="249"/>
      <c r="F6" s="249"/>
      <c r="G6" s="249"/>
      <c r="H6" s="249"/>
    </row>
    <row r="7" spans="1:23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50" t="str">
        <f>+'Rate Case Constants'!C25</f>
        <v>SCHEDULE N</v>
      </c>
    </row>
    <row r="8" spans="1:23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51" t="str">
        <f>+'Rate Case Constants'!L33</f>
        <v>PAGE 26 of 26</v>
      </c>
      <c r="L8" s="151"/>
    </row>
    <row r="9" spans="1:23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51" t="str">
        <f>+'Rate Case Constants'!C36</f>
        <v>WITNESS:   R. M. CONROY</v>
      </c>
    </row>
    <row r="10" spans="1:23" x14ac:dyDescent="0.2">
      <c r="A10" s="249"/>
      <c r="B10" s="249"/>
      <c r="C10" s="249"/>
      <c r="D10" s="249"/>
      <c r="E10" s="249"/>
      <c r="F10" s="249"/>
      <c r="G10" s="249"/>
      <c r="H10" s="249"/>
    </row>
    <row r="11" spans="1:23" x14ac:dyDescent="0.2">
      <c r="A11" s="260" t="s">
        <v>389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3"/>
      <c r="P11" s="30"/>
      <c r="Q11" s="30"/>
    </row>
    <row r="12" spans="1:2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23" x14ac:dyDescent="0.2">
      <c r="A13" s="30"/>
      <c r="B13" s="30"/>
      <c r="C13" s="3" t="s">
        <v>304</v>
      </c>
      <c r="D13" s="3" t="s">
        <v>305</v>
      </c>
      <c r="E13" s="26" t="s">
        <v>306</v>
      </c>
      <c r="F13" s="3" t="s">
        <v>307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23" x14ac:dyDescent="0.2">
      <c r="K14" s="49" t="s">
        <v>60</v>
      </c>
      <c r="L14" s="49"/>
      <c r="M14" s="49"/>
      <c r="O14" s="49" t="s">
        <v>61</v>
      </c>
      <c r="P14" s="49"/>
      <c r="Q14" s="49"/>
    </row>
    <row r="15" spans="1:23" x14ac:dyDescent="0.2">
      <c r="C15" s="3" t="s">
        <v>1</v>
      </c>
      <c r="D15" s="3" t="s">
        <v>73</v>
      </c>
      <c r="E15" s="3"/>
      <c r="F15" s="3"/>
      <c r="K15" s="26" t="s">
        <v>63</v>
      </c>
      <c r="L15" s="3"/>
      <c r="M15" s="26"/>
      <c r="O15" s="26" t="s">
        <v>63</v>
      </c>
      <c r="P15" s="3"/>
      <c r="Q15" s="26"/>
    </row>
    <row r="16" spans="1:23" x14ac:dyDescent="0.2">
      <c r="A16" s="3"/>
      <c r="B16" s="3"/>
      <c r="C16" s="3" t="s">
        <v>4</v>
      </c>
      <c r="D16" s="3" t="s">
        <v>4</v>
      </c>
      <c r="E16" s="3" t="s">
        <v>74</v>
      </c>
      <c r="F16" s="3" t="s">
        <v>74</v>
      </c>
      <c r="G16" s="3"/>
      <c r="H16" s="3"/>
      <c r="I16" s="3"/>
      <c r="J16" s="3"/>
      <c r="K16" s="26" t="s">
        <v>62</v>
      </c>
      <c r="L16" s="3" t="s">
        <v>57</v>
      </c>
      <c r="M16" s="26" t="s">
        <v>5</v>
      </c>
      <c r="O16" s="26" t="s">
        <v>62</v>
      </c>
      <c r="P16" s="3" t="s">
        <v>57</v>
      </c>
      <c r="Q16" s="26" t="s">
        <v>5</v>
      </c>
      <c r="S16" s="2"/>
      <c r="T16" s="3" t="s">
        <v>6</v>
      </c>
      <c r="U16" s="3"/>
      <c r="V16" s="3" t="s">
        <v>8</v>
      </c>
      <c r="W16" s="3"/>
    </row>
    <row r="17" spans="1:23" x14ac:dyDescent="0.2">
      <c r="A17" s="3" t="s">
        <v>106</v>
      </c>
      <c r="B17" s="3"/>
      <c r="C17" s="3"/>
      <c r="D17" s="3"/>
      <c r="E17" s="3" t="s">
        <v>68</v>
      </c>
      <c r="F17" s="26" t="s">
        <v>69</v>
      </c>
      <c r="G17" s="3"/>
      <c r="H17" s="3"/>
      <c r="I17" s="3"/>
      <c r="J17" s="3"/>
      <c r="K17" s="79" t="s">
        <v>3</v>
      </c>
      <c r="L17" s="80" t="s">
        <v>3</v>
      </c>
      <c r="M17" s="79" t="s">
        <v>4</v>
      </c>
      <c r="O17" s="79" t="s">
        <v>3</v>
      </c>
      <c r="P17" s="80" t="s">
        <v>3</v>
      </c>
      <c r="Q17" s="79" t="s">
        <v>4</v>
      </c>
      <c r="S17" s="2"/>
      <c r="T17" s="3" t="s">
        <v>7</v>
      </c>
      <c r="U17" s="3"/>
      <c r="V17" s="3" t="s">
        <v>7</v>
      </c>
      <c r="W17" s="3"/>
    </row>
    <row r="18" spans="1:23" x14ac:dyDescent="0.2">
      <c r="A18" s="80" t="s">
        <v>107</v>
      </c>
      <c r="B18" s="80"/>
      <c r="C18" s="80"/>
      <c r="D18" s="80"/>
      <c r="E18" s="234" t="str">
        <f>("[ "&amp;D13&amp;" - "&amp;C13&amp;" ]")</f>
        <v>[ B - A ]</v>
      </c>
      <c r="F18" s="234" t="str">
        <f>("[ "&amp;E13&amp;" / "&amp;C13&amp;" ]")</f>
        <v>[ C / A ]</v>
      </c>
      <c r="G18" s="80"/>
      <c r="H18" s="80"/>
      <c r="I18" s="3"/>
      <c r="J18" s="3"/>
      <c r="K18" s="95">
        <f>+INPUT!$T$4</f>
        <v>7.25</v>
      </c>
      <c r="L18" s="32">
        <v>0</v>
      </c>
      <c r="M18" s="26"/>
      <c r="O18" s="299">
        <v>7.25</v>
      </c>
      <c r="P18" s="32">
        <v>0</v>
      </c>
      <c r="Q18" s="26"/>
      <c r="S18" s="2"/>
      <c r="T18" s="3"/>
      <c r="U18" s="3"/>
      <c r="V18" s="3"/>
      <c r="W18" s="3"/>
    </row>
    <row r="19" spans="1:2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26" t="s">
        <v>108</v>
      </c>
      <c r="L19" s="3" t="s">
        <v>14</v>
      </c>
      <c r="M19" s="26"/>
      <c r="O19" s="26" t="s">
        <v>108</v>
      </c>
      <c r="P19" s="3" t="s">
        <v>14</v>
      </c>
      <c r="Q19" s="26"/>
      <c r="S19" s="2"/>
      <c r="T19" s="3"/>
      <c r="U19" s="3"/>
      <c r="V19" s="3"/>
      <c r="W19" s="3"/>
    </row>
    <row r="20" spans="1:2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3"/>
      <c r="P20" s="3"/>
      <c r="Q20" s="3"/>
    </row>
    <row r="21" spans="1:23" x14ac:dyDescent="0.2">
      <c r="A21" s="94">
        <v>1000</v>
      </c>
      <c r="C21" s="29">
        <f>+M21</f>
        <v>7250</v>
      </c>
      <c r="D21" s="29">
        <f>+Q21</f>
        <v>7250</v>
      </c>
      <c r="E21" s="29">
        <f>+D21-C21</f>
        <v>0</v>
      </c>
      <c r="F21" s="54">
        <f>ROUND(+E21/C21,4)</f>
        <v>0</v>
      </c>
      <c r="K21" s="7">
        <f>+$K$18*$A21</f>
        <v>7250</v>
      </c>
      <c r="L21" s="6"/>
      <c r="M21" s="6">
        <f>K21+L21</f>
        <v>7250</v>
      </c>
      <c r="O21" s="7">
        <f>+$O$18*$A21</f>
        <v>7250</v>
      </c>
      <c r="P21" s="6"/>
      <c r="Q21" s="6">
        <f>O21+P21</f>
        <v>7250</v>
      </c>
      <c r="T21" s="6">
        <f>Q21-M21</f>
        <v>0</v>
      </c>
      <c r="V21" s="8">
        <f>Q21/M21-1</f>
        <v>0</v>
      </c>
      <c r="W21" s="8"/>
    </row>
    <row r="22" spans="1:23" x14ac:dyDescent="0.2">
      <c r="A22" s="94"/>
      <c r="C22" s="29"/>
      <c r="D22" s="29"/>
      <c r="E22" s="29"/>
      <c r="K22" s="7"/>
      <c r="L22" s="6"/>
      <c r="M22" s="6"/>
      <c r="O22" s="7"/>
      <c r="P22" s="6"/>
      <c r="Q22" s="6"/>
      <c r="V22" s="8"/>
      <c r="W22" s="8"/>
    </row>
    <row r="23" spans="1:23" x14ac:dyDescent="0.2">
      <c r="A23" s="94">
        <v>5000</v>
      </c>
      <c r="C23" s="29">
        <f>+M23</f>
        <v>36250</v>
      </c>
      <c r="D23" s="29">
        <f>+Q23</f>
        <v>36250</v>
      </c>
      <c r="E23" s="29">
        <f>+D23-C23</f>
        <v>0</v>
      </c>
      <c r="F23" s="54">
        <f>ROUND(+E23/C23,4)</f>
        <v>0</v>
      </c>
      <c r="K23" s="7">
        <f>+$K$18*$A23</f>
        <v>36250</v>
      </c>
      <c r="L23" s="6"/>
      <c r="M23" s="6">
        <f>K23+L23</f>
        <v>36250</v>
      </c>
      <c r="O23" s="7">
        <f>+$O$18*$A23</f>
        <v>36250</v>
      </c>
      <c r="P23" s="6"/>
      <c r="Q23" s="6">
        <f>O23+P23</f>
        <v>36250</v>
      </c>
      <c r="T23" s="6">
        <f>Q23-M23</f>
        <v>0</v>
      </c>
      <c r="V23" s="8">
        <f>Q23/M23-1</f>
        <v>0</v>
      </c>
      <c r="W23" s="8"/>
    </row>
    <row r="24" spans="1:23" x14ac:dyDescent="0.2">
      <c r="A24" s="94"/>
      <c r="C24" s="29"/>
      <c r="D24" s="29"/>
      <c r="E24" s="29"/>
      <c r="F24" s="54"/>
      <c r="K24" s="55"/>
      <c r="L24" s="6"/>
      <c r="M24" s="6"/>
      <c r="O24" s="7"/>
      <c r="P24" s="6"/>
      <c r="Q24" s="6"/>
      <c r="V24" s="27"/>
      <c r="W24" s="27"/>
    </row>
    <row r="25" spans="1:23" s="10" customFormat="1" x14ac:dyDescent="0.2">
      <c r="A25" s="94">
        <v>10000</v>
      </c>
      <c r="B25"/>
      <c r="C25" s="29">
        <f>+M25</f>
        <v>72500</v>
      </c>
      <c r="D25" s="29">
        <f>+Q25</f>
        <v>72500</v>
      </c>
      <c r="E25" s="29">
        <f>+D25-C25</f>
        <v>0</v>
      </c>
      <c r="F25" s="54">
        <f>ROUND(+E25/C25,4)</f>
        <v>0</v>
      </c>
      <c r="K25" s="7">
        <f>+$K$18*$A25</f>
        <v>72500</v>
      </c>
      <c r="L25" s="6"/>
      <c r="M25" s="11">
        <f>K25+L25</f>
        <v>72500</v>
      </c>
      <c r="O25" s="7">
        <f>+$O$18*$A25</f>
        <v>72500</v>
      </c>
      <c r="P25" s="6"/>
      <c r="Q25" s="11">
        <f>O25+P25</f>
        <v>72500</v>
      </c>
      <c r="T25" s="11">
        <f>Q25-M25</f>
        <v>0</v>
      </c>
      <c r="V25" s="27">
        <f>Q25/M25-1</f>
        <v>0</v>
      </c>
      <c r="W25" s="27"/>
    </row>
    <row r="26" spans="1:23" x14ac:dyDescent="0.2">
      <c r="A26" s="94"/>
      <c r="C26" s="29"/>
      <c r="D26" s="29"/>
      <c r="E26" s="29"/>
      <c r="K26" s="7"/>
      <c r="L26" s="6"/>
      <c r="M26" s="6"/>
      <c r="O26" s="7"/>
      <c r="P26" s="6"/>
      <c r="Q26" s="6"/>
      <c r="V26" s="8"/>
      <c r="W26" s="8"/>
    </row>
    <row r="27" spans="1:23" s="10" customFormat="1" x14ac:dyDescent="0.2">
      <c r="A27" s="94">
        <v>20000</v>
      </c>
      <c r="B27"/>
      <c r="C27" s="29">
        <f>+M27</f>
        <v>145000</v>
      </c>
      <c r="D27" s="29">
        <f>+Q27</f>
        <v>145000</v>
      </c>
      <c r="E27" s="29">
        <f>+D27-C27</f>
        <v>0</v>
      </c>
      <c r="F27" s="54">
        <f>ROUND(+E27/C27,4)</f>
        <v>0</v>
      </c>
      <c r="K27" s="7">
        <f>+$K$18*$A27</f>
        <v>145000</v>
      </c>
      <c r="L27" s="6"/>
      <c r="M27" s="11">
        <f>K27+L27</f>
        <v>145000</v>
      </c>
      <c r="O27" s="7">
        <f>+$O$18*$A27</f>
        <v>145000</v>
      </c>
      <c r="P27" s="6"/>
      <c r="Q27" s="11">
        <f>O27+P27</f>
        <v>145000</v>
      </c>
      <c r="T27" s="11">
        <f>Q27-M27</f>
        <v>0</v>
      </c>
      <c r="V27" s="27">
        <f>Q27/M27-1</f>
        <v>0</v>
      </c>
      <c r="W27" s="27"/>
    </row>
    <row r="28" spans="1:23" x14ac:dyDescent="0.2">
      <c r="A28" s="94"/>
      <c r="C28" s="29"/>
      <c r="D28" s="29"/>
      <c r="E28" s="29"/>
      <c r="K28" s="7"/>
      <c r="L28" s="6"/>
      <c r="M28" s="6"/>
      <c r="O28" s="7"/>
      <c r="P28" s="6"/>
      <c r="Q28" s="6"/>
      <c r="V28" s="8"/>
      <c r="W28" s="8"/>
    </row>
    <row r="29" spans="1:23" x14ac:dyDescent="0.2">
      <c r="A29" s="94">
        <v>30000</v>
      </c>
      <c r="C29" s="29">
        <f>+M29</f>
        <v>217500</v>
      </c>
      <c r="D29" s="29">
        <f>+Q29</f>
        <v>217500</v>
      </c>
      <c r="E29" s="29">
        <f>+D29-C29</f>
        <v>0</v>
      </c>
      <c r="F29" s="54">
        <f>ROUND(+E29/C29,4)</f>
        <v>0</v>
      </c>
      <c r="K29" s="7">
        <f>+$K$18*$A29</f>
        <v>217500</v>
      </c>
      <c r="L29" s="6"/>
      <c r="M29" s="6">
        <f>K29+L29</f>
        <v>217500</v>
      </c>
      <c r="O29" s="7">
        <f>+$O$18*$A29</f>
        <v>217500</v>
      </c>
      <c r="P29" s="6"/>
      <c r="Q29" s="6">
        <f>O29+P29</f>
        <v>217500</v>
      </c>
      <c r="T29" s="6">
        <f>Q29-M29</f>
        <v>0</v>
      </c>
      <c r="V29" s="8">
        <f>Q29/M29-1</f>
        <v>0</v>
      </c>
      <c r="W29" s="8"/>
    </row>
    <row r="30" spans="1:23" x14ac:dyDescent="0.2">
      <c r="A30" s="5"/>
      <c r="C30" s="29"/>
      <c r="D30" s="29"/>
      <c r="E30" s="29"/>
      <c r="K30" s="7"/>
      <c r="L30" s="6"/>
      <c r="M30" s="6"/>
      <c r="O30" s="7"/>
      <c r="P30" s="6"/>
      <c r="Q30" s="6"/>
      <c r="V30" s="8"/>
      <c r="W30" s="8"/>
    </row>
    <row r="31" spans="1:23" x14ac:dyDescent="0.2">
      <c r="A31" s="94">
        <v>40000</v>
      </c>
      <c r="C31" s="29">
        <f>+M31</f>
        <v>290000</v>
      </c>
      <c r="D31" s="29">
        <f>+Q31</f>
        <v>290000</v>
      </c>
      <c r="E31" s="29">
        <f>+D31-C31</f>
        <v>0</v>
      </c>
      <c r="F31" s="54">
        <f>ROUND(+E31/C31,4)</f>
        <v>0</v>
      </c>
      <c r="K31" s="7">
        <f>+$K$18*$A31</f>
        <v>290000</v>
      </c>
      <c r="L31" s="6"/>
      <c r="M31" s="6">
        <f>K31+L31</f>
        <v>290000</v>
      </c>
      <c r="O31" s="7">
        <f>+$O$18*$A31</f>
        <v>290000</v>
      </c>
      <c r="P31" s="6"/>
      <c r="Q31" s="6">
        <f>O31+P31</f>
        <v>290000</v>
      </c>
      <c r="T31" s="6">
        <f>Q31-M31</f>
        <v>0</v>
      </c>
      <c r="V31" s="8">
        <f>Q31/M31-1</f>
        <v>0</v>
      </c>
      <c r="W31" s="8"/>
    </row>
    <row r="32" spans="1:23" x14ac:dyDescent="0.2">
      <c r="A32" s="94"/>
      <c r="C32" s="29"/>
      <c r="D32" s="29"/>
      <c r="E32" s="29"/>
      <c r="K32" s="7"/>
      <c r="L32" s="6"/>
      <c r="M32" s="6"/>
      <c r="O32" s="7"/>
      <c r="P32" s="6"/>
      <c r="Q32" s="6"/>
      <c r="V32" s="8"/>
      <c r="W32" s="8"/>
    </row>
    <row r="33" spans="1:23" x14ac:dyDescent="0.2">
      <c r="A33" s="94">
        <v>50000</v>
      </c>
      <c r="C33" s="29">
        <f>+M33</f>
        <v>362500</v>
      </c>
      <c r="D33" s="29">
        <f>+Q33</f>
        <v>362500</v>
      </c>
      <c r="E33" s="29">
        <f>+D33-C33</f>
        <v>0</v>
      </c>
      <c r="F33" s="54">
        <f>ROUND(+E33/C33,4)</f>
        <v>0</v>
      </c>
      <c r="K33" s="7">
        <f>+$K$18*$A33</f>
        <v>362500</v>
      </c>
      <c r="L33" s="6"/>
      <c r="M33" s="6">
        <f>K33+L33</f>
        <v>362500</v>
      </c>
      <c r="O33" s="7">
        <f>+$O$18*$A33</f>
        <v>362500</v>
      </c>
      <c r="P33" s="6"/>
      <c r="Q33" s="6">
        <f>O33+P33</f>
        <v>362500</v>
      </c>
      <c r="T33" s="6">
        <f>Q33-M33</f>
        <v>0</v>
      </c>
      <c r="V33" s="8">
        <f>Q33/M33-1</f>
        <v>0</v>
      </c>
      <c r="W33" s="8"/>
    </row>
    <row r="34" spans="1:23" x14ac:dyDescent="0.2">
      <c r="A34" s="5"/>
      <c r="C34" s="29"/>
      <c r="D34" s="29"/>
      <c r="E34" s="29"/>
      <c r="K34" s="7"/>
      <c r="L34" s="6"/>
      <c r="M34" s="6"/>
      <c r="O34" s="7"/>
      <c r="P34" s="6"/>
      <c r="Q34" s="6"/>
      <c r="V34" s="8"/>
      <c r="W34" s="8"/>
    </row>
    <row r="35" spans="1:23" x14ac:dyDescent="0.2">
      <c r="A35" s="94">
        <v>100000</v>
      </c>
      <c r="C35" s="29">
        <f>+M35</f>
        <v>725000</v>
      </c>
      <c r="D35" s="29">
        <f>+Q35</f>
        <v>725000</v>
      </c>
      <c r="E35" s="29">
        <f>+D35-C35</f>
        <v>0</v>
      </c>
      <c r="F35" s="54">
        <f>ROUND(+E35/C35,4)</f>
        <v>0</v>
      </c>
      <c r="K35" s="7">
        <f>+$K$18*$A35</f>
        <v>725000</v>
      </c>
      <c r="L35" s="6"/>
      <c r="M35" s="6">
        <f>K35+L35</f>
        <v>725000</v>
      </c>
      <c r="O35" s="7">
        <f>+$O$18*$A35</f>
        <v>725000</v>
      </c>
      <c r="P35" s="6"/>
      <c r="Q35" s="6">
        <f>O35+P35</f>
        <v>725000</v>
      </c>
      <c r="T35" s="6">
        <f>Q35-M35</f>
        <v>0</v>
      </c>
      <c r="V35" s="8">
        <f>Q35/M35-1</f>
        <v>0</v>
      </c>
      <c r="W35" s="8"/>
    </row>
    <row r="36" spans="1:23" x14ac:dyDescent="0.2">
      <c r="A36" s="5"/>
      <c r="C36" s="29"/>
      <c r="D36" s="29"/>
      <c r="E36" s="29"/>
      <c r="K36" s="7"/>
      <c r="L36" s="6"/>
      <c r="M36" s="6"/>
      <c r="O36" s="7"/>
      <c r="P36" s="6"/>
      <c r="Q36" s="6"/>
      <c r="V36" s="8"/>
      <c r="W36" s="8"/>
    </row>
    <row r="37" spans="1:23" x14ac:dyDescent="0.2">
      <c r="A37" s="88"/>
      <c r="E37" s="29"/>
      <c r="F37" s="54"/>
      <c r="K37" s="7"/>
      <c r="L37" s="6"/>
      <c r="M37" s="6"/>
      <c r="O37" s="7"/>
      <c r="P37" s="6"/>
      <c r="Q37" s="6"/>
      <c r="T37" s="6"/>
      <c r="V37" s="8"/>
      <c r="W37" s="8"/>
    </row>
    <row r="38" spans="1:23" x14ac:dyDescent="0.2">
      <c r="A38" t="s">
        <v>379</v>
      </c>
      <c r="B38" t="s">
        <v>380</v>
      </c>
    </row>
    <row r="39" spans="1:23" x14ac:dyDescent="0.2">
      <c r="B39" t="s">
        <v>600</v>
      </c>
      <c r="K39" s="7"/>
    </row>
    <row r="40" spans="1:23" x14ac:dyDescent="0.2">
      <c r="A40" s="81"/>
      <c r="B40" s="17"/>
      <c r="C40" s="17"/>
      <c r="D40" s="17"/>
    </row>
    <row r="41" spans="1:23" s="17" customFormat="1" x14ac:dyDescent="0.2">
      <c r="A41" s="81"/>
    </row>
    <row r="42" spans="1:23" s="17" customFormat="1" x14ac:dyDescent="0.2"/>
    <row r="44" spans="1:23" ht="12" customHeight="1" x14ac:dyDescent="0.2"/>
  </sheetData>
  <mergeCells count="4">
    <mergeCell ref="A1:H1"/>
    <mergeCell ref="A2:H2"/>
    <mergeCell ref="A3:H3"/>
    <mergeCell ref="A4:H4"/>
  </mergeCells>
  <printOptions horizontalCentered="1"/>
  <pageMargins left="0.75" right="0.75" top="1.5" bottom="0.5" header="1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/>
  </sheetViews>
  <sheetFormatPr defaultColWidth="9.140625" defaultRowHeight="12.75" x14ac:dyDescent="0.2"/>
  <cols>
    <col min="1" max="16384" width="9.140625" style="213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C43"/>
  <sheetViews>
    <sheetView tabSelected="1" view="pageBreakPreview" zoomScale="90" zoomScaleNormal="80" zoomScaleSheetLayoutView="90" workbookViewId="0">
      <selection sqref="A1:L1"/>
    </sheetView>
  </sheetViews>
  <sheetFormatPr defaultColWidth="9.140625" defaultRowHeight="12.75" x14ac:dyDescent="0.2"/>
  <cols>
    <col min="1" max="1" width="10" style="17" customWidth="1"/>
    <col min="2" max="2" width="3.5703125" style="17" customWidth="1"/>
    <col min="3" max="4" width="10.140625" style="17" bestFit="1" customWidth="1"/>
    <col min="5" max="6" width="9.28515625" style="17" bestFit="1" customWidth="1"/>
    <col min="7" max="7" width="10.7109375" style="17" bestFit="1" customWidth="1"/>
    <col min="8" max="8" width="10" style="17" bestFit="1" customWidth="1"/>
    <col min="9" max="9" width="10" style="17" customWidth="1"/>
    <col min="10" max="11" width="10.5703125" style="17" bestFit="1" customWidth="1"/>
    <col min="12" max="12" width="9.28515625" style="17" bestFit="1" customWidth="1"/>
    <col min="13" max="13" width="10.42578125" style="17" customWidth="1"/>
    <col min="14" max="14" width="10.140625" style="17" customWidth="1"/>
    <col min="15" max="16" width="3.5703125" style="17" customWidth="1"/>
    <col min="17" max="17" width="11.85546875" style="17" customWidth="1"/>
    <col min="18" max="18" width="14.140625" style="17" customWidth="1"/>
    <col min="19" max="19" width="9.5703125" style="17" customWidth="1"/>
    <col min="20" max="20" width="7.140625" style="17" customWidth="1"/>
    <col min="21" max="21" width="11.5703125" style="17" customWidth="1"/>
    <col min="22" max="22" width="9.5703125" style="17" customWidth="1"/>
    <col min="23" max="23" width="9.140625" style="17"/>
    <col min="24" max="25" width="3" style="17" customWidth="1"/>
    <col min="26" max="26" width="9.140625" style="17"/>
    <col min="27" max="27" width="2.7109375" style="17" customWidth="1"/>
    <col min="28" max="16384" width="9.140625" style="17"/>
  </cols>
  <sheetData>
    <row r="1" spans="1:29" x14ac:dyDescent="0.2">
      <c r="A1" s="426" t="str">
        <f>+'Rate Case Constants'!C9</f>
        <v>LOUISVILLE GAS AND ELECTRIC COMPANY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29" x14ac:dyDescent="0.2">
      <c r="A2" s="426" t="str">
        <f>+'Rate Case Constants'!C10</f>
        <v>CASE NO. 2018-00295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1:29" x14ac:dyDescent="0.2">
      <c r="A3" s="428" t="str">
        <f>+'Rate Case Constants'!C24</f>
        <v>Typical Bill Comparison under Present &amp; Proposed Rates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29" x14ac:dyDescent="0.2">
      <c r="A4" s="426" t="str">
        <f>+'Rate Case Constants'!C21</f>
        <v>FORECAST PERIOD FOR THE 12 MONTHS ENDED APRIL 30, 2020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29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29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9" x14ac:dyDescent="0.2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235" t="str">
        <f>+'Rate Case Constants'!C25</f>
        <v>SCHEDULE N</v>
      </c>
    </row>
    <row r="8" spans="1:29" x14ac:dyDescent="0.2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36" t="str">
        <f>+'Rate Case Constants'!L8</f>
        <v>PAGE 1 of 26</v>
      </c>
    </row>
    <row r="9" spans="1:29" x14ac:dyDescent="0.2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236" t="str">
        <f>+'Rate Case Constants'!C36</f>
        <v>WITNESS:   R. M. CONROY</v>
      </c>
      <c r="R9" s="17" t="s">
        <v>502</v>
      </c>
    </row>
    <row r="10" spans="1:29" s="245" customFormat="1" x14ac:dyDescent="0.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Q10" s="246" t="s">
        <v>70</v>
      </c>
      <c r="R10" s="407">
        <f>INPUT!J54</f>
        <v>-5.297468641041901E-4</v>
      </c>
    </row>
    <row r="11" spans="1:29" x14ac:dyDescent="0.2">
      <c r="A11" s="261" t="s">
        <v>101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88"/>
      <c r="N11" s="88"/>
      <c r="O11" s="88"/>
      <c r="P11" s="88"/>
      <c r="Q11" s="83" t="s">
        <v>72</v>
      </c>
      <c r="R11" s="83">
        <f>INPUT!K54</f>
        <v>1.8109460337260666E-3</v>
      </c>
      <c r="S11" s="88"/>
      <c r="T11" s="88"/>
      <c r="U11" s="101"/>
      <c r="V11" s="88"/>
      <c r="W11" s="88"/>
    </row>
    <row r="12" spans="1:29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3" t="s">
        <v>71</v>
      </c>
      <c r="R12" s="83">
        <f>INPUT!L54</f>
        <v>4.3208222988393033E-3</v>
      </c>
      <c r="S12" s="88"/>
      <c r="T12" s="88"/>
      <c r="U12" s="88"/>
      <c r="V12" s="88"/>
      <c r="W12" s="88"/>
    </row>
    <row r="13" spans="1:29" x14ac:dyDescent="0.2">
      <c r="A13" s="88"/>
      <c r="B13" s="88"/>
      <c r="C13" s="164" t="s">
        <v>304</v>
      </c>
      <c r="D13" s="165" t="s">
        <v>305</v>
      </c>
      <c r="E13" s="165" t="s">
        <v>306</v>
      </c>
      <c r="F13" s="164" t="s">
        <v>307</v>
      </c>
      <c r="G13" s="164" t="s">
        <v>308</v>
      </c>
      <c r="H13" s="164" t="s">
        <v>309</v>
      </c>
      <c r="I13" s="165" t="s">
        <v>310</v>
      </c>
      <c r="J13" s="164" t="s">
        <v>311</v>
      </c>
      <c r="K13" s="164" t="s">
        <v>312</v>
      </c>
      <c r="L13" s="164" t="s">
        <v>313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9" x14ac:dyDescent="0.2">
      <c r="C14" s="231" t="s">
        <v>339</v>
      </c>
      <c r="D14" s="231" t="s">
        <v>339</v>
      </c>
      <c r="E14" s="168"/>
      <c r="F14" s="168"/>
      <c r="G14" s="168"/>
      <c r="H14" s="168"/>
      <c r="I14" s="168"/>
      <c r="J14" s="164" t="s">
        <v>5</v>
      </c>
      <c r="K14" s="164" t="s">
        <v>5</v>
      </c>
      <c r="L14" s="168"/>
      <c r="Q14" s="102" t="s">
        <v>60</v>
      </c>
      <c r="R14" s="102"/>
      <c r="S14" s="102"/>
      <c r="U14" s="102" t="s">
        <v>61</v>
      </c>
      <c r="V14" s="102"/>
      <c r="W14" s="102"/>
    </row>
    <row r="15" spans="1:29" x14ac:dyDescent="0.2">
      <c r="C15" s="164" t="s">
        <v>1</v>
      </c>
      <c r="D15" s="164" t="s">
        <v>73</v>
      </c>
      <c r="E15" s="164"/>
      <c r="F15" s="164"/>
      <c r="G15" s="424" t="s">
        <v>126</v>
      </c>
      <c r="H15" s="424"/>
      <c r="I15" s="425"/>
      <c r="J15" s="164" t="s">
        <v>1</v>
      </c>
      <c r="K15" s="164" t="s">
        <v>73</v>
      </c>
      <c r="L15" s="164"/>
      <c r="M15" s="86" t="s">
        <v>1</v>
      </c>
      <c r="N15" s="86" t="s">
        <v>73</v>
      </c>
      <c r="Q15" s="87" t="s">
        <v>63</v>
      </c>
      <c r="R15" s="86"/>
      <c r="S15" s="87"/>
      <c r="U15" s="87" t="s">
        <v>63</v>
      </c>
      <c r="V15" s="86"/>
      <c r="W15" s="87"/>
    </row>
    <row r="16" spans="1:29" x14ac:dyDescent="0.2">
      <c r="A16" s="86"/>
      <c r="B16" s="86"/>
      <c r="C16" s="164" t="s">
        <v>4</v>
      </c>
      <c r="D16" s="164" t="s">
        <v>4</v>
      </c>
      <c r="E16" s="164" t="s">
        <v>74</v>
      </c>
      <c r="F16" s="164" t="s">
        <v>74</v>
      </c>
      <c r="G16" s="164" t="s">
        <v>376</v>
      </c>
      <c r="H16" s="164" t="s">
        <v>72</v>
      </c>
      <c r="I16" s="164" t="s">
        <v>71</v>
      </c>
      <c r="J16" s="164" t="s">
        <v>4</v>
      </c>
      <c r="K16" s="164" t="s">
        <v>4</v>
      </c>
      <c r="L16" s="164" t="s">
        <v>74</v>
      </c>
      <c r="M16" s="86" t="s">
        <v>4</v>
      </c>
      <c r="N16" s="86" t="s">
        <v>4</v>
      </c>
      <c r="O16" s="86"/>
      <c r="P16" s="86"/>
      <c r="Q16" s="87" t="s">
        <v>62</v>
      </c>
      <c r="R16" s="86" t="s">
        <v>57</v>
      </c>
      <c r="S16" s="87" t="s">
        <v>5</v>
      </c>
      <c r="U16" s="87" t="s">
        <v>62</v>
      </c>
      <c r="V16" s="86" t="s">
        <v>57</v>
      </c>
      <c r="W16" s="87" t="s">
        <v>5</v>
      </c>
      <c r="Y16" s="83"/>
      <c r="Z16" s="86" t="s">
        <v>6</v>
      </c>
      <c r="AA16" s="86"/>
      <c r="AB16" s="86" t="s">
        <v>8</v>
      </c>
      <c r="AC16" s="86"/>
    </row>
    <row r="17" spans="1:29" x14ac:dyDescent="0.2">
      <c r="A17" s="86" t="s">
        <v>50</v>
      </c>
      <c r="B17" s="86"/>
      <c r="C17" s="164"/>
      <c r="D17" s="164"/>
      <c r="E17" s="164" t="s">
        <v>68</v>
      </c>
      <c r="F17" s="165" t="s">
        <v>69</v>
      </c>
      <c r="G17" s="166"/>
      <c r="H17" s="166"/>
      <c r="I17" s="167"/>
      <c r="J17" s="164" t="s">
        <v>68</v>
      </c>
      <c r="K17" s="164" t="s">
        <v>68</v>
      </c>
      <c r="L17" s="165" t="s">
        <v>69</v>
      </c>
      <c r="M17" s="86" t="s">
        <v>329</v>
      </c>
      <c r="N17" s="86" t="s">
        <v>329</v>
      </c>
      <c r="O17" s="86"/>
      <c r="P17" s="86"/>
      <c r="Q17" s="96" t="s">
        <v>3</v>
      </c>
      <c r="R17" s="97" t="s">
        <v>3</v>
      </c>
      <c r="S17" s="96" t="s">
        <v>4</v>
      </c>
      <c r="U17" s="96" t="s">
        <v>3</v>
      </c>
      <c r="V17" s="97" t="s">
        <v>3</v>
      </c>
      <c r="W17" s="96" t="s">
        <v>4</v>
      </c>
      <c r="Y17" s="83"/>
      <c r="Z17" s="86" t="s">
        <v>7</v>
      </c>
      <c r="AA17" s="86"/>
      <c r="AB17" s="86" t="s">
        <v>7</v>
      </c>
      <c r="AC17" s="86"/>
    </row>
    <row r="18" spans="1:29" x14ac:dyDescent="0.2">
      <c r="A18" s="97"/>
      <c r="B18" s="97"/>
      <c r="C18" s="234"/>
      <c r="D18" s="234"/>
      <c r="E18" s="234" t="str">
        <f>("[ "&amp;D13&amp;" - "&amp;C13&amp;" ]")</f>
        <v>[ B - A ]</v>
      </c>
      <c r="F18" s="234" t="str">
        <f>("[ "&amp;E13&amp;" / "&amp;C13&amp;" ]")</f>
        <v>[ C / A ]</v>
      </c>
      <c r="G18" s="262"/>
      <c r="H18" s="262"/>
      <c r="I18" s="262"/>
      <c r="J18" s="234" t="str">
        <f>("["&amp;C13&amp;"+"&amp;$G$13&amp;"+"&amp;$H$13&amp;"+"&amp;$I$13&amp;"]")</f>
        <v>[A+E+F+G]</v>
      </c>
      <c r="K18" s="234" t="str">
        <f>("["&amp;D13&amp;"+"&amp;$G$13&amp;"+"&amp;$H$13&amp;"+"&amp;$I$13&amp;"]")</f>
        <v>[B+E+F+G]</v>
      </c>
      <c r="L18" s="234" t="str">
        <f>("[("&amp;K13&amp;" - "&amp;J13&amp;")/"&amp;J13&amp;"]")</f>
        <v>[(I - H)/H]</v>
      </c>
      <c r="M18" s="86"/>
      <c r="N18" s="86"/>
      <c r="O18" s="86"/>
      <c r="P18" s="164"/>
      <c r="Q18" s="87"/>
      <c r="R18" s="103">
        <f>+INPUT!$B$6</f>
        <v>9.3820000000000001E-2</v>
      </c>
      <c r="S18" s="87"/>
      <c r="U18" s="87"/>
      <c r="V18" s="103">
        <f>INPUT!$B$28</f>
        <v>9.4200000000000006E-2</v>
      </c>
      <c r="W18" s="87"/>
      <c r="Y18" s="83"/>
      <c r="Z18" s="86"/>
      <c r="AA18" s="86"/>
      <c r="AB18" s="86"/>
      <c r="AC18" s="86"/>
    </row>
    <row r="19" spans="1:29" x14ac:dyDescent="0.2">
      <c r="A19" s="86"/>
      <c r="B19" s="86"/>
      <c r="C19" s="3"/>
      <c r="D19" s="3"/>
      <c r="E19" s="164"/>
      <c r="F19" s="164"/>
      <c r="G19" s="3"/>
      <c r="H19" s="3"/>
      <c r="I19" s="3"/>
      <c r="J19" s="164"/>
      <c r="K19" s="3"/>
      <c r="L19" s="164"/>
      <c r="M19" s="86"/>
      <c r="N19" s="86"/>
      <c r="O19" s="86"/>
      <c r="P19" s="86"/>
      <c r="Q19" s="87"/>
      <c r="R19" s="86" t="s">
        <v>14</v>
      </c>
      <c r="S19" s="87"/>
      <c r="U19" s="87"/>
      <c r="V19" s="86" t="s">
        <v>14</v>
      </c>
      <c r="W19" s="87"/>
      <c r="Y19" s="83"/>
      <c r="Z19" s="86"/>
      <c r="AA19" s="86"/>
      <c r="AB19" s="86"/>
      <c r="AC19" s="86"/>
    </row>
    <row r="20" spans="1:29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R20" s="86"/>
      <c r="S20" s="86"/>
      <c r="V20" s="86"/>
      <c r="W20" s="86"/>
    </row>
    <row r="21" spans="1:29" x14ac:dyDescent="0.2">
      <c r="A21" s="82">
        <v>500</v>
      </c>
      <c r="C21" s="89">
        <f>+S21</f>
        <v>59.160000000000004</v>
      </c>
      <c r="D21" s="89">
        <f>+W21</f>
        <v>63.231875000000002</v>
      </c>
      <c r="E21" s="89">
        <f>+D21-C21</f>
        <v>4.0718749999999986</v>
      </c>
      <c r="F21" s="90">
        <f>ROUND(+E21/C21,4)</f>
        <v>6.88E-2</v>
      </c>
      <c r="G21" s="89">
        <f>ROUND($R$10*$A21,2)</f>
        <v>-0.26</v>
      </c>
      <c r="H21" s="89">
        <f>ROUND($R$11*$A21,2)</f>
        <v>0.91</v>
      </c>
      <c r="I21" s="89">
        <f>ROUND($R$12*$A21,2)</f>
        <v>2.16</v>
      </c>
      <c r="J21" s="89">
        <f>+C21+G21+H21+I21</f>
        <v>61.97</v>
      </c>
      <c r="K21" s="89">
        <f>+D21+G21+H21+I21</f>
        <v>66.041875000000005</v>
      </c>
      <c r="L21" s="90">
        <f>ROUND((K21-J21)/J21,4)</f>
        <v>6.5699999999999995E-2</v>
      </c>
      <c r="N21" s="104"/>
      <c r="Q21" s="40">
        <f>+INPUT!$B$4</f>
        <v>12.25</v>
      </c>
      <c r="R21" s="84">
        <f>A21*$R$18</f>
        <v>46.910000000000004</v>
      </c>
      <c r="S21" s="84">
        <f>Q21+R21</f>
        <v>59.160000000000004</v>
      </c>
      <c r="U21" s="40">
        <f>INPUT!$B$26</f>
        <v>16.131875000000001</v>
      </c>
      <c r="V21" s="84">
        <f>A21*$V$18</f>
        <v>47.1</v>
      </c>
      <c r="W21" s="84">
        <f>U21+V21</f>
        <v>63.231875000000002</v>
      </c>
      <c r="Z21" s="84">
        <f>W21-S21</f>
        <v>4.0718749999999986</v>
      </c>
      <c r="AB21" s="104">
        <f>W21/S21-1</f>
        <v>6.882817782285322E-2</v>
      </c>
      <c r="AC21" s="104"/>
    </row>
    <row r="22" spans="1:29" x14ac:dyDescent="0.2">
      <c r="A22" s="82"/>
      <c r="Q22" s="40"/>
      <c r="R22" s="84"/>
      <c r="S22" s="84"/>
      <c r="U22" s="40"/>
      <c r="V22" s="84"/>
      <c r="W22" s="84"/>
      <c r="AB22" s="104"/>
      <c r="AC22" s="104"/>
    </row>
    <row r="23" spans="1:29" x14ac:dyDescent="0.2">
      <c r="A23" s="82">
        <v>750</v>
      </c>
      <c r="C23" s="89">
        <f>+S23</f>
        <v>82.614999999999995</v>
      </c>
      <c r="D23" s="89">
        <f>+W23</f>
        <v>86.781875000000014</v>
      </c>
      <c r="E23" s="89">
        <f>+D23-C23</f>
        <v>4.1668750000000188</v>
      </c>
      <c r="F23" s="90">
        <f>ROUND(+E23/C23,4)</f>
        <v>5.04E-2</v>
      </c>
      <c r="G23" s="89">
        <f>ROUND($R$10*$A23,2)</f>
        <v>-0.4</v>
      </c>
      <c r="H23" s="89">
        <f>ROUND($R$11*$A23,2)</f>
        <v>1.36</v>
      </c>
      <c r="I23" s="89">
        <f>ROUND($R$12*$A23,2)</f>
        <v>3.24</v>
      </c>
      <c r="J23" s="89">
        <f>+C23+G23+H23+I23</f>
        <v>86.814999999999984</v>
      </c>
      <c r="K23" s="89">
        <f>+D23+G23+H23+I23</f>
        <v>90.981875000000002</v>
      </c>
      <c r="L23" s="90">
        <f>ROUND((K23-J23)/J23,4)</f>
        <v>4.8000000000000001E-2</v>
      </c>
      <c r="Q23" s="40">
        <f>$Q$21</f>
        <v>12.25</v>
      </c>
      <c r="R23" s="84">
        <f>A23*$R$18</f>
        <v>70.364999999999995</v>
      </c>
      <c r="S23" s="84">
        <f>Q23+R23</f>
        <v>82.614999999999995</v>
      </c>
      <c r="U23" s="40">
        <f>INPUT!$B$26</f>
        <v>16.131875000000001</v>
      </c>
      <c r="V23" s="84">
        <f>A23*$V$18</f>
        <v>70.650000000000006</v>
      </c>
      <c r="W23" s="84">
        <f>U23+V23</f>
        <v>86.781875000000014</v>
      </c>
      <c r="Z23" s="84">
        <f>W23-S23</f>
        <v>4.1668750000000188</v>
      </c>
      <c r="AB23" s="104">
        <f>W23/S23-1</f>
        <v>5.0437269261030204E-2</v>
      </c>
      <c r="AC23" s="104"/>
    </row>
    <row r="24" spans="1:29" x14ac:dyDescent="0.2">
      <c r="A24" s="82"/>
      <c r="C24" s="89"/>
      <c r="D24" s="89"/>
      <c r="E24" s="89"/>
      <c r="F24" s="90"/>
      <c r="G24" s="89"/>
      <c r="H24" s="89"/>
      <c r="I24" s="89"/>
      <c r="J24" s="89"/>
      <c r="K24" s="89"/>
      <c r="L24" s="90"/>
      <c r="Q24" s="105"/>
      <c r="R24" s="84"/>
      <c r="S24" s="84"/>
      <c r="U24" s="40"/>
      <c r="V24" s="84"/>
      <c r="W24" s="84"/>
      <c r="AB24" s="106"/>
      <c r="AC24" s="106"/>
    </row>
    <row r="25" spans="1:29" s="107" customFormat="1" x14ac:dyDescent="0.2">
      <c r="A25" s="266">
        <v>917</v>
      </c>
      <c r="B25" s="109"/>
      <c r="C25" s="110">
        <f>+S25</f>
        <v>98.282939999999996</v>
      </c>
      <c r="D25" s="110">
        <f>+W25</f>
        <v>102.51327499999999</v>
      </c>
      <c r="E25" s="110">
        <f>+D25-C25</f>
        <v>4.2303349999999966</v>
      </c>
      <c r="F25" s="111">
        <f>ROUND(+E25/C25,4)</f>
        <v>4.2999999999999997E-2</v>
      </c>
      <c r="G25" s="110">
        <f>ROUND($R$10*$A25,2)</f>
        <v>-0.49</v>
      </c>
      <c r="H25" s="110">
        <f>ROUND($R$11*$A25,2)</f>
        <v>1.66</v>
      </c>
      <c r="I25" s="110">
        <f>ROUND($R$12*$A25,2)</f>
        <v>3.96</v>
      </c>
      <c r="J25" s="110">
        <f>+C25+G25+H25+I25</f>
        <v>103.41293999999999</v>
      </c>
      <c r="K25" s="110">
        <f>+D25+G25+H25+I25</f>
        <v>107.64327499999999</v>
      </c>
      <c r="L25" s="404">
        <f>ROUND((K25-J25)/J25,4)</f>
        <v>4.0899999999999999E-2</v>
      </c>
      <c r="M25" s="215">
        <f>+J25/A25</f>
        <v>0.11277310796074154</v>
      </c>
      <c r="N25" s="215">
        <f>+K25/A25</f>
        <v>0.11738634133042529</v>
      </c>
      <c r="Q25" s="105">
        <f>$Q$21</f>
        <v>12.25</v>
      </c>
      <c r="R25" s="84">
        <f>A25*$R$18</f>
        <v>86.032939999999996</v>
      </c>
      <c r="S25" s="108">
        <f>Q25+R25</f>
        <v>98.282939999999996</v>
      </c>
      <c r="U25" s="105">
        <f>INPUT!$B$26</f>
        <v>16.131875000000001</v>
      </c>
      <c r="V25" s="84">
        <f>A25*$V$18</f>
        <v>86.381399999999999</v>
      </c>
      <c r="W25" s="108">
        <f>U25+V25</f>
        <v>102.51327499999999</v>
      </c>
      <c r="Z25" s="108">
        <f>W25-S25</f>
        <v>4.2303349999999966</v>
      </c>
      <c r="AB25" s="106">
        <f>W25/S25-1</f>
        <v>4.3042414075118218E-2</v>
      </c>
      <c r="AC25" s="106"/>
    </row>
    <row r="26" spans="1:29" x14ac:dyDescent="0.2">
      <c r="A26" s="82"/>
      <c r="K26" s="89"/>
      <c r="Q26" s="40"/>
      <c r="R26" s="84"/>
      <c r="S26" s="84"/>
      <c r="U26" s="40"/>
      <c r="V26" s="84"/>
      <c r="W26" s="84"/>
      <c r="AB26" s="104"/>
      <c r="AC26" s="104"/>
    </row>
    <row r="27" spans="1:29" x14ac:dyDescent="0.2">
      <c r="A27" s="82">
        <v>1200</v>
      </c>
      <c r="C27" s="89">
        <f>+S27</f>
        <v>124.834</v>
      </c>
      <c r="D27" s="89">
        <f>+W27</f>
        <v>129.171875</v>
      </c>
      <c r="E27" s="89">
        <f>+D27-C27</f>
        <v>4.3378749999999968</v>
      </c>
      <c r="F27" s="90">
        <f>ROUND(+E27/C27,4)</f>
        <v>3.4700000000000002E-2</v>
      </c>
      <c r="G27" s="89">
        <f>ROUND($R$10*$A27,2)</f>
        <v>-0.64</v>
      </c>
      <c r="H27" s="89">
        <f>ROUND($R$11*$A27,2)</f>
        <v>2.17</v>
      </c>
      <c r="I27" s="89">
        <f>ROUND($R$12*$A27,2)</f>
        <v>5.18</v>
      </c>
      <c r="J27" s="89">
        <f>+C27+G27+H27+I27</f>
        <v>131.54400000000001</v>
      </c>
      <c r="K27" s="89">
        <f>+D27+G27+H27+I27</f>
        <v>135.88187500000001</v>
      </c>
      <c r="L27" s="90">
        <f>ROUND((K27-J27)/J27,4)</f>
        <v>3.3000000000000002E-2</v>
      </c>
      <c r="M27" s="107"/>
      <c r="N27" s="107"/>
      <c r="O27" s="107"/>
      <c r="P27" s="107"/>
      <c r="Q27" s="105">
        <f>$Q$21</f>
        <v>12.25</v>
      </c>
      <c r="R27" s="84">
        <f>A27*$R$18</f>
        <v>112.584</v>
      </c>
      <c r="S27" s="108">
        <f>Q27+R27</f>
        <v>124.834</v>
      </c>
      <c r="T27" s="107"/>
      <c r="U27" s="105">
        <f>INPUT!$B$26</f>
        <v>16.131875000000001</v>
      </c>
      <c r="V27" s="84">
        <f>A27*$V$18</f>
        <v>113.04</v>
      </c>
      <c r="W27" s="108">
        <f>U27+V27</f>
        <v>129.171875</v>
      </c>
      <c r="X27" s="107"/>
      <c r="Y27" s="107"/>
      <c r="Z27" s="108">
        <f>W27-S27</f>
        <v>4.3378749999999968</v>
      </c>
      <c r="AA27" s="107"/>
      <c r="AB27" s="106">
        <f>W27/S27-1</f>
        <v>3.4749146867039338E-2</v>
      </c>
      <c r="AC27" s="104"/>
    </row>
    <row r="28" spans="1:29" x14ac:dyDescent="0.2">
      <c r="A28" s="82"/>
      <c r="Q28" s="40"/>
      <c r="R28" s="84"/>
      <c r="S28" s="84"/>
      <c r="U28" s="40"/>
      <c r="V28" s="84"/>
      <c r="W28" s="84"/>
      <c r="AB28" s="104"/>
      <c r="AC28" s="104"/>
    </row>
    <row r="29" spans="1:29" x14ac:dyDescent="0.2">
      <c r="A29" s="82">
        <v>1500</v>
      </c>
      <c r="C29" s="89">
        <f>+S29</f>
        <v>152.97999999999999</v>
      </c>
      <c r="D29" s="89">
        <f>+W29</f>
        <v>157.43187500000002</v>
      </c>
      <c r="E29" s="89">
        <f>+D29-C29</f>
        <v>4.4518750000000296</v>
      </c>
      <c r="F29" s="90">
        <f>ROUND(+E29/C29,4)</f>
        <v>2.9100000000000001E-2</v>
      </c>
      <c r="G29" s="89">
        <f>ROUND($R$10*$A29,2)</f>
        <v>-0.79</v>
      </c>
      <c r="H29" s="89">
        <f>ROUND($R$11*$A29,2)</f>
        <v>2.72</v>
      </c>
      <c r="I29" s="89">
        <f>ROUND($R$12*$A29,2)</f>
        <v>6.48</v>
      </c>
      <c r="J29" s="89">
        <f>+C29+G29+H29+I29</f>
        <v>161.38999999999999</v>
      </c>
      <c r="K29" s="89">
        <f>+D29+G29+H29+I29</f>
        <v>165.84187500000002</v>
      </c>
      <c r="L29" s="90">
        <f>ROUND((K29-J29)/J29,4)</f>
        <v>2.76E-2</v>
      </c>
      <c r="Q29" s="40">
        <f>$Q$21</f>
        <v>12.25</v>
      </c>
      <c r="R29" s="84">
        <f>A29*$R$18</f>
        <v>140.72999999999999</v>
      </c>
      <c r="S29" s="84">
        <f>Q29+R29</f>
        <v>152.97999999999999</v>
      </c>
      <c r="U29" s="40">
        <f>INPUT!$B$26</f>
        <v>16.131875000000001</v>
      </c>
      <c r="V29" s="84">
        <f>A29*$V$18</f>
        <v>141.30000000000001</v>
      </c>
      <c r="W29" s="84">
        <f>U29+V29</f>
        <v>157.43187500000002</v>
      </c>
      <c r="Z29" s="84">
        <f>W29-S29</f>
        <v>4.4518750000000296</v>
      </c>
      <c r="AB29" s="104">
        <f>W29/S29-1</f>
        <v>2.9101026277944975E-2</v>
      </c>
      <c r="AC29" s="104"/>
    </row>
    <row r="30" spans="1:29" x14ac:dyDescent="0.2">
      <c r="Q30" s="40"/>
      <c r="R30" s="84"/>
      <c r="S30" s="84"/>
      <c r="U30" s="40"/>
      <c r="V30" s="84"/>
      <c r="W30" s="84"/>
      <c r="AB30" s="104"/>
      <c r="AC30" s="104"/>
    </row>
    <row r="31" spans="1:29" x14ac:dyDescent="0.2">
      <c r="A31" s="82">
        <v>2000</v>
      </c>
      <c r="C31" s="89">
        <f>+S31</f>
        <v>199.89000000000001</v>
      </c>
      <c r="D31" s="89">
        <f>+W31</f>
        <v>204.53187500000001</v>
      </c>
      <c r="E31" s="89">
        <f>+D31-C31</f>
        <v>4.6418749999999989</v>
      </c>
      <c r="F31" s="90">
        <f>ROUND(+E31/C31,4)</f>
        <v>2.3199999999999998E-2</v>
      </c>
      <c r="G31" s="89">
        <f>ROUND($R$10*$A31,2)</f>
        <v>-1.06</v>
      </c>
      <c r="H31" s="89">
        <f>ROUND($R$11*$A31,2)</f>
        <v>3.62</v>
      </c>
      <c r="I31" s="89">
        <f>ROUND($R$12*$A31,2)</f>
        <v>8.64</v>
      </c>
      <c r="J31" s="89">
        <f>+C31+G31+H31+I31</f>
        <v>211.09000000000003</v>
      </c>
      <c r="K31" s="89">
        <f>+D31+G31+H31+I31</f>
        <v>215.731875</v>
      </c>
      <c r="L31" s="90">
        <f>ROUND((K31-J31)/J31,4)</f>
        <v>2.1999999999999999E-2</v>
      </c>
      <c r="Q31" s="40">
        <f>$Q$21</f>
        <v>12.25</v>
      </c>
      <c r="R31" s="84">
        <f>A31*$R$18</f>
        <v>187.64000000000001</v>
      </c>
      <c r="S31" s="84">
        <f>Q31+R31</f>
        <v>199.89000000000001</v>
      </c>
      <c r="U31" s="40">
        <f>INPUT!$B$26</f>
        <v>16.131875000000001</v>
      </c>
      <c r="V31" s="84">
        <f>A31*$V$18</f>
        <v>188.4</v>
      </c>
      <c r="W31" s="84">
        <f>U31+V31</f>
        <v>204.53187500000001</v>
      </c>
      <c r="Z31" s="84">
        <f>W31-S31</f>
        <v>4.6418749999999989</v>
      </c>
      <c r="AB31" s="104">
        <f>W31/S31-1</f>
        <v>2.3222147180949504E-2</v>
      </c>
      <c r="AC31" s="104"/>
    </row>
    <row r="32" spans="1:29" x14ac:dyDescent="0.2">
      <c r="A32" s="82"/>
      <c r="Q32" s="40"/>
      <c r="R32" s="84"/>
      <c r="S32" s="84"/>
      <c r="U32" s="40"/>
      <c r="V32" s="84"/>
      <c r="W32" s="84"/>
      <c r="AB32" s="104"/>
      <c r="AC32" s="104"/>
    </row>
    <row r="33" spans="1:29" x14ac:dyDescent="0.2">
      <c r="A33" s="82">
        <v>2500</v>
      </c>
      <c r="C33" s="89">
        <f>+S33</f>
        <v>246.8</v>
      </c>
      <c r="D33" s="89">
        <f>+W33</f>
        <v>251.63187500000004</v>
      </c>
      <c r="E33" s="89">
        <f>+D33-C33</f>
        <v>4.831875000000025</v>
      </c>
      <c r="F33" s="90">
        <f>ROUND(+E33/C33,4)</f>
        <v>1.9599999999999999E-2</v>
      </c>
      <c r="G33" s="89">
        <f>ROUND($R$10*$A33,2)</f>
        <v>-1.32</v>
      </c>
      <c r="H33" s="89">
        <f>ROUND($R$11*$A33,2)</f>
        <v>4.53</v>
      </c>
      <c r="I33" s="89">
        <f>ROUND($R$12*$A33,2)</f>
        <v>10.8</v>
      </c>
      <c r="J33" s="89">
        <f>+C33+G33+H33+I33</f>
        <v>260.81</v>
      </c>
      <c r="K33" s="89">
        <f>+D33+G33+H33+I33</f>
        <v>265.64187500000003</v>
      </c>
      <c r="L33" s="90">
        <f>ROUND((K33-J33)/J33,4)</f>
        <v>1.8499999999999999E-2</v>
      </c>
      <c r="Q33" s="40">
        <f>$Q$21</f>
        <v>12.25</v>
      </c>
      <c r="R33" s="84">
        <f>A33*$R$18</f>
        <v>234.55</v>
      </c>
      <c r="S33" s="84">
        <f>Q33+R33</f>
        <v>246.8</v>
      </c>
      <c r="U33" s="40">
        <f>INPUT!$B$26</f>
        <v>16.131875000000001</v>
      </c>
      <c r="V33" s="84">
        <f>A33*$V$18</f>
        <v>235.50000000000003</v>
      </c>
      <c r="W33" s="84">
        <f>U33+V33</f>
        <v>251.63187500000004</v>
      </c>
      <c r="Z33" s="84">
        <f>W33-S33</f>
        <v>4.831875000000025</v>
      </c>
      <c r="AB33" s="104">
        <f>W33/S33-1</f>
        <v>1.9578099675851002E-2</v>
      </c>
      <c r="AC33" s="104"/>
    </row>
    <row r="34" spans="1:29" x14ac:dyDescent="0.2">
      <c r="Q34" s="40"/>
      <c r="R34" s="84"/>
      <c r="S34" s="84"/>
      <c r="U34" s="40"/>
      <c r="V34" s="84"/>
      <c r="W34" s="84"/>
      <c r="AB34" s="104"/>
      <c r="AC34" s="104"/>
    </row>
    <row r="35" spans="1:29" x14ac:dyDescent="0.2">
      <c r="A35" s="82">
        <v>3000</v>
      </c>
      <c r="C35" s="89">
        <f>+S35</f>
        <v>293.70999999999998</v>
      </c>
      <c r="D35" s="89">
        <f>+W35</f>
        <v>298.731875</v>
      </c>
      <c r="E35" s="89">
        <f>+D35-C35</f>
        <v>5.0218750000000227</v>
      </c>
      <c r="F35" s="90">
        <f>ROUND(+E35/C35,4)</f>
        <v>1.7100000000000001E-2</v>
      </c>
      <c r="G35" s="89">
        <f>ROUND($R$10*$A35,2)</f>
        <v>-1.59</v>
      </c>
      <c r="H35" s="89">
        <f>ROUND($R$11*$A35,2)</f>
        <v>5.43</v>
      </c>
      <c r="I35" s="89">
        <f>ROUND($R$12*$A35,2)</f>
        <v>12.96</v>
      </c>
      <c r="J35" s="89">
        <f>+C35+G35+H35+I35</f>
        <v>310.51</v>
      </c>
      <c r="K35" s="89">
        <f>+D35+G35+H35+I35</f>
        <v>315.53187500000001</v>
      </c>
      <c r="L35" s="90">
        <f>ROUND((K35-J35)/J35,4)</f>
        <v>1.6199999999999999E-2</v>
      </c>
      <c r="Q35" s="40">
        <f>$Q$21</f>
        <v>12.25</v>
      </c>
      <c r="R35" s="84">
        <f>A35*$R$18</f>
        <v>281.45999999999998</v>
      </c>
      <c r="S35" s="84">
        <f>Q35+R35</f>
        <v>293.70999999999998</v>
      </c>
      <c r="U35" s="40">
        <f>INPUT!$B$26</f>
        <v>16.131875000000001</v>
      </c>
      <c r="V35" s="84">
        <f>A35*$V$18</f>
        <v>282.60000000000002</v>
      </c>
      <c r="W35" s="84">
        <f>U35+V35</f>
        <v>298.731875</v>
      </c>
      <c r="Z35" s="84">
        <f>W35-S35</f>
        <v>5.0218750000000227</v>
      </c>
      <c r="AB35" s="104">
        <f>W35/S35-1</f>
        <v>1.7098072929079722E-2</v>
      </c>
      <c r="AC35" s="104"/>
    </row>
    <row r="36" spans="1:29" x14ac:dyDescent="0.2">
      <c r="A36" s="82"/>
      <c r="C36" s="89"/>
      <c r="D36" s="89"/>
      <c r="E36" s="89"/>
      <c r="F36" s="90"/>
      <c r="G36" s="89"/>
      <c r="H36" s="89"/>
      <c r="I36" s="89"/>
      <c r="J36" s="89"/>
      <c r="K36" s="89"/>
      <c r="L36" s="90"/>
      <c r="Q36" s="40"/>
      <c r="R36" s="84"/>
      <c r="S36" s="84"/>
      <c r="U36" s="40"/>
      <c r="V36" s="84"/>
      <c r="W36" s="84"/>
      <c r="Z36" s="84"/>
      <c r="AB36" s="104"/>
      <c r="AC36" s="104"/>
    </row>
    <row r="37" spans="1:29" x14ac:dyDescent="0.2">
      <c r="A37" s="17" t="s">
        <v>314</v>
      </c>
      <c r="Q37" s="40"/>
      <c r="R37" s="84"/>
      <c r="S37" s="84"/>
      <c r="U37" s="40"/>
      <c r="V37" s="84"/>
      <c r="W37" s="84"/>
      <c r="AB37" s="104"/>
      <c r="AC37" s="104"/>
    </row>
    <row r="38" spans="1:29" x14ac:dyDescent="0.2">
      <c r="A38" s="170" t="str">
        <f>("Average usage = "&amp;INPUT!B20&amp;" kWh per month")</f>
        <v>Average usage = 917 kWh per month</v>
      </c>
      <c r="Q38" s="40"/>
    </row>
    <row r="39" spans="1:29" x14ac:dyDescent="0.2">
      <c r="A39" s="172" t="s">
        <v>315</v>
      </c>
    </row>
    <row r="40" spans="1:29" x14ac:dyDescent="0.2">
      <c r="A40" s="172" t="str">
        <f>+'Rate Case Constants'!C26</f>
        <v>Calculations may vary from other schedules due to rounding</v>
      </c>
    </row>
    <row r="43" spans="1:29" ht="12" customHeight="1" x14ac:dyDescent="0.2"/>
  </sheetData>
  <mergeCells count="5">
    <mergeCell ref="G15:I15"/>
    <mergeCell ref="A1:L1"/>
    <mergeCell ref="A2:L2"/>
    <mergeCell ref="A3:L3"/>
    <mergeCell ref="A4:L4"/>
  </mergeCells>
  <phoneticPr fontId="5" type="noConversion"/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I45"/>
  <sheetViews>
    <sheetView view="pageBreakPreview" zoomScale="90" zoomScaleNormal="90" zoomScaleSheetLayoutView="9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3" width="10.28515625" bestFit="1" customWidth="1"/>
    <col min="4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3" width="8.5703125" customWidth="1"/>
    <col min="14" max="16" width="3.5703125" customWidth="1"/>
    <col min="17" max="18" width="11.85546875" customWidth="1"/>
    <col min="19" max="19" width="9.85546875" customWidth="1"/>
    <col min="20" max="21" width="9.5703125" customWidth="1"/>
    <col min="22" max="22" width="7.140625" customWidth="1"/>
    <col min="23" max="23" width="11.5703125" customWidth="1"/>
    <col min="24" max="26" width="9.5703125" customWidth="1"/>
    <col min="30" max="31" width="3" customWidth="1"/>
    <col min="33" max="33" width="2.7109375" customWidth="1"/>
  </cols>
  <sheetData>
    <row r="1" spans="1:35" x14ac:dyDescent="0.2">
      <c r="A1" s="426" t="str">
        <f>+'Rate Case Constants'!C9</f>
        <v>LOUISVILLE GAS AND ELECTRIC COMPANY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35" x14ac:dyDescent="0.2">
      <c r="A2" s="426" t="str">
        <f>'Rate Case Constants'!C10</f>
        <v>CASE NO. 2018-00295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35" x14ac:dyDescent="0.2">
      <c r="A3" s="428" t="str">
        <f>+'Rate Case Constants'!C24</f>
        <v>Typical Bill Comparison under Present &amp; Proposed Rates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35" x14ac:dyDescent="0.2">
      <c r="A4" s="426" t="str">
        <f>+'Rate Case Constants'!C21</f>
        <v>FORECAST PERIOD FOR THE 12 MONTHS ENDED APRIL 30, 2020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3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3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5" x14ac:dyDescent="0.2">
      <c r="A7" s="2" t="str">
        <f>+'Rate Case Constants'!C33</f>
        <v>DATA: ____BASE PERIOD__X___FORECASTED PERIOD</v>
      </c>
      <c r="B7" s="2"/>
      <c r="C7" s="2"/>
      <c r="D7" s="2"/>
      <c r="E7" s="2"/>
      <c r="F7" s="2"/>
      <c r="G7" s="2"/>
      <c r="H7" s="2"/>
      <c r="I7" s="2"/>
      <c r="J7" s="2"/>
      <c r="K7" s="2"/>
      <c r="L7" s="237" t="str">
        <f>+'Rate Case Constants'!C25</f>
        <v>SCHEDULE N</v>
      </c>
    </row>
    <row r="8" spans="1:35" x14ac:dyDescent="0.2">
      <c r="A8" s="2" t="str">
        <f>+'Rate Case Constants'!C29</f>
        <v>TYPE OF FILING: __X__ ORIGINAL  _____ UPDATED  _____ REVISED</v>
      </c>
      <c r="B8" s="2"/>
      <c r="C8" s="2"/>
      <c r="D8" s="2"/>
      <c r="E8" s="2"/>
      <c r="F8" s="2"/>
      <c r="G8" s="2"/>
      <c r="H8" s="2"/>
      <c r="I8" s="2"/>
      <c r="J8" s="2"/>
      <c r="K8" s="2"/>
      <c r="L8" s="238" t="str">
        <f>+'Rate Case Constants'!L9</f>
        <v>PAGE 2 of 26</v>
      </c>
    </row>
    <row r="9" spans="1:35" x14ac:dyDescent="0.2">
      <c r="A9" s="2" t="str">
        <f>+'Rate Case Constants'!C34</f>
        <v>WORKPAPER REFERENCE NO(S):________</v>
      </c>
      <c r="B9" s="2"/>
      <c r="C9" s="2"/>
      <c r="D9" s="2"/>
      <c r="E9" s="2"/>
      <c r="F9" s="2"/>
      <c r="G9" s="2"/>
      <c r="H9" s="2"/>
      <c r="I9" s="2"/>
      <c r="J9" s="2"/>
      <c r="K9" s="2"/>
      <c r="L9" s="238" t="str">
        <f>+'Rate Case Constants'!C36</f>
        <v>WITNESS:   R. M. CONROY</v>
      </c>
      <c r="R9" t="s">
        <v>502</v>
      </c>
    </row>
    <row r="10" spans="1:3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Q10" s="83" t="s">
        <v>70</v>
      </c>
      <c r="R10" s="83">
        <f>INPUT!J54</f>
        <v>-5.297468641041901E-4</v>
      </c>
    </row>
    <row r="11" spans="1:35" x14ac:dyDescent="0.2">
      <c r="A11" s="260" t="s">
        <v>348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83" t="s">
        <v>72</v>
      </c>
      <c r="R11" s="83">
        <f>INPUT!K54</f>
        <v>1.8109460337260666E-3</v>
      </c>
      <c r="S11" s="30"/>
      <c r="T11" s="30"/>
      <c r="U11" s="30"/>
      <c r="V11" s="30"/>
      <c r="W11" s="33"/>
      <c r="X11" s="30"/>
      <c r="Y11" s="30"/>
      <c r="Z11" s="30"/>
      <c r="AA11" s="30"/>
      <c r="AB11" s="30"/>
      <c r="AC11" s="30"/>
    </row>
    <row r="12" spans="1:35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83" t="s">
        <v>71</v>
      </c>
      <c r="R12" s="83">
        <f>INPUT!L54</f>
        <v>4.3208222988393033E-3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35" x14ac:dyDescent="0.2">
      <c r="A13" s="30"/>
      <c r="B13" s="30"/>
      <c r="C13" s="164" t="s">
        <v>304</v>
      </c>
      <c r="D13" s="165" t="s">
        <v>305</v>
      </c>
      <c r="E13" s="165" t="s">
        <v>306</v>
      </c>
      <c r="F13" s="164" t="s">
        <v>307</v>
      </c>
      <c r="G13" s="164" t="s">
        <v>308</v>
      </c>
      <c r="H13" s="164" t="s">
        <v>309</v>
      </c>
      <c r="I13" s="165" t="s">
        <v>310</v>
      </c>
      <c r="J13" s="164" t="s">
        <v>311</v>
      </c>
      <c r="K13" s="164" t="s">
        <v>312</v>
      </c>
      <c r="L13" s="164" t="s">
        <v>313</v>
      </c>
      <c r="M13" s="30"/>
      <c r="N13" s="30"/>
      <c r="O13" s="30"/>
      <c r="P13" s="30"/>
      <c r="Q13" s="30"/>
      <c r="R13" s="30"/>
      <c r="S13" s="30"/>
      <c r="T13" s="30"/>
      <c r="V13" s="30"/>
      <c r="W13" s="30"/>
      <c r="X13" s="30"/>
      <c r="Y13" s="30"/>
      <c r="Z13" s="30"/>
      <c r="AA13" s="30"/>
      <c r="AB13" s="30"/>
      <c r="AC13" s="30"/>
    </row>
    <row r="14" spans="1:35" x14ac:dyDescent="0.2">
      <c r="C14" s="231" t="s">
        <v>339</v>
      </c>
      <c r="D14" s="231" t="s">
        <v>339</v>
      </c>
      <c r="E14" s="168"/>
      <c r="F14" s="168"/>
      <c r="G14" s="168"/>
      <c r="H14" s="168"/>
      <c r="I14" s="168"/>
      <c r="J14" s="164" t="s">
        <v>5</v>
      </c>
      <c r="K14" s="164" t="s">
        <v>5</v>
      </c>
      <c r="L14" s="168"/>
      <c r="Q14" s="99" t="s">
        <v>275</v>
      </c>
      <c r="R14" s="49"/>
      <c r="S14" s="49"/>
      <c r="T14" s="49"/>
      <c r="U14" s="3"/>
      <c r="W14" s="49" t="s">
        <v>61</v>
      </c>
      <c r="X14" s="49"/>
      <c r="Y14" s="49"/>
      <c r="Z14" s="49"/>
      <c r="AA14" s="49"/>
      <c r="AB14" s="3"/>
      <c r="AC14" s="56"/>
    </row>
    <row r="15" spans="1:35" x14ac:dyDescent="0.2">
      <c r="C15" s="164" t="s">
        <v>1</v>
      </c>
      <c r="D15" s="164" t="s">
        <v>73</v>
      </c>
      <c r="E15" s="164"/>
      <c r="F15" s="164"/>
      <c r="G15" s="424" t="s">
        <v>126</v>
      </c>
      <c r="H15" s="424"/>
      <c r="I15" s="425"/>
      <c r="J15" s="164" t="s">
        <v>1</v>
      </c>
      <c r="K15" s="164" t="s">
        <v>73</v>
      </c>
      <c r="L15" s="164"/>
      <c r="Q15" s="26" t="s">
        <v>63</v>
      </c>
      <c r="R15" s="26" t="s">
        <v>57</v>
      </c>
      <c r="S15" s="26" t="s">
        <v>57</v>
      </c>
      <c r="T15" s="26"/>
      <c r="U15" s="3"/>
      <c r="W15" s="26" t="s">
        <v>63</v>
      </c>
      <c r="X15" s="26" t="s">
        <v>57</v>
      </c>
      <c r="Y15" s="123" t="s">
        <v>57</v>
      </c>
      <c r="Z15" s="26" t="s">
        <v>57</v>
      </c>
      <c r="AA15" s="26"/>
      <c r="AB15" s="3"/>
      <c r="AC15" s="26"/>
    </row>
    <row r="16" spans="1:35" x14ac:dyDescent="0.2">
      <c r="A16" s="3"/>
      <c r="B16" s="3"/>
      <c r="C16" s="164" t="s">
        <v>4</v>
      </c>
      <c r="D16" s="164" t="s">
        <v>4</v>
      </c>
      <c r="E16" s="164" t="s">
        <v>74</v>
      </c>
      <c r="F16" s="164" t="s">
        <v>74</v>
      </c>
      <c r="G16" s="164" t="s">
        <v>376</v>
      </c>
      <c r="H16" s="164" t="s">
        <v>72</v>
      </c>
      <c r="I16" s="164" t="s">
        <v>71</v>
      </c>
      <c r="J16" s="164" t="s">
        <v>4</v>
      </c>
      <c r="K16" s="164" t="s">
        <v>4</v>
      </c>
      <c r="L16" s="164" t="s">
        <v>74</v>
      </c>
      <c r="M16" s="3"/>
      <c r="N16" s="3"/>
      <c r="O16" s="3"/>
      <c r="P16" s="3"/>
      <c r="Q16" s="26" t="s">
        <v>62</v>
      </c>
      <c r="R16" s="26" t="s">
        <v>82</v>
      </c>
      <c r="S16" s="26" t="s">
        <v>34</v>
      </c>
      <c r="T16" s="26" t="s">
        <v>5</v>
      </c>
      <c r="U16" s="3"/>
      <c r="W16" s="26" t="s">
        <v>62</v>
      </c>
      <c r="X16" s="26" t="s">
        <v>22</v>
      </c>
      <c r="Y16" s="123" t="s">
        <v>83</v>
      </c>
      <c r="Z16" s="26" t="s">
        <v>34</v>
      </c>
      <c r="AA16" s="26" t="s">
        <v>5</v>
      </c>
      <c r="AB16" s="3"/>
      <c r="AC16" s="26"/>
      <c r="AE16" s="2"/>
      <c r="AF16" s="3" t="s">
        <v>6</v>
      </c>
      <c r="AG16" s="3"/>
      <c r="AH16" s="3" t="s">
        <v>8</v>
      </c>
      <c r="AI16" s="3"/>
    </row>
    <row r="17" spans="1:35" x14ac:dyDescent="0.2">
      <c r="A17" s="3" t="s">
        <v>50</v>
      </c>
      <c r="B17" s="3"/>
      <c r="C17" s="26"/>
      <c r="D17" s="164"/>
      <c r="E17" s="164" t="s">
        <v>68</v>
      </c>
      <c r="F17" s="165" t="s">
        <v>69</v>
      </c>
      <c r="G17" s="166"/>
      <c r="H17" s="166"/>
      <c r="I17" s="167"/>
      <c r="J17" s="164" t="s">
        <v>68</v>
      </c>
      <c r="K17" s="164" t="s">
        <v>68</v>
      </c>
      <c r="L17" s="165" t="s">
        <v>69</v>
      </c>
      <c r="M17" s="3"/>
      <c r="N17" s="3"/>
      <c r="O17" s="3"/>
      <c r="P17" s="3"/>
      <c r="Q17" s="53" t="s">
        <v>3</v>
      </c>
      <c r="R17" s="80" t="s">
        <v>3</v>
      </c>
      <c r="S17" s="80" t="s">
        <v>3</v>
      </c>
      <c r="T17" s="53" t="s">
        <v>4</v>
      </c>
      <c r="U17" s="34"/>
      <c r="W17" s="53" t="s">
        <v>3</v>
      </c>
      <c r="X17" s="34" t="s">
        <v>3</v>
      </c>
      <c r="Y17" s="124" t="s">
        <v>3</v>
      </c>
      <c r="Z17" s="34" t="s">
        <v>3</v>
      </c>
      <c r="AA17" s="53" t="s">
        <v>4</v>
      </c>
      <c r="AB17" s="34"/>
      <c r="AC17" s="57"/>
      <c r="AE17" s="2"/>
      <c r="AF17" s="3" t="s">
        <v>7</v>
      </c>
      <c r="AG17" s="3"/>
      <c r="AH17" s="3" t="s">
        <v>7</v>
      </c>
      <c r="AI17" s="3"/>
    </row>
    <row r="18" spans="1:35" x14ac:dyDescent="0.2">
      <c r="A18" s="80"/>
      <c r="B18" s="80"/>
      <c r="C18" s="234"/>
      <c r="D18" s="234"/>
      <c r="E18" s="234" t="str">
        <f>("[ "&amp;D13&amp;" - "&amp;C13&amp;" ]")</f>
        <v>[ B - A ]</v>
      </c>
      <c r="F18" s="234" t="str">
        <f>("[ "&amp;E13&amp;" / "&amp;C13&amp;" ]")</f>
        <v>[ C / A ]</v>
      </c>
      <c r="G18" s="262"/>
      <c r="H18" s="262"/>
      <c r="I18" s="262"/>
      <c r="J18" s="234" t="str">
        <f>("["&amp;C13&amp;"+"&amp;$G$13&amp;"+"&amp;$H$13&amp;"+"&amp;$I$13&amp;"]")</f>
        <v>[A+E+F+G]</v>
      </c>
      <c r="K18" s="234" t="str">
        <f>("["&amp;D13&amp;"+"&amp;$G$13&amp;"+"&amp;$H$13&amp;"+"&amp;$I$13&amp;"]")</f>
        <v>[B+E+F+G]</v>
      </c>
      <c r="L18" s="234" t="str">
        <f>("[("&amp;K13&amp;" - "&amp;J13&amp;")/"&amp;J13&amp;"]")</f>
        <v>[(I - H)/H]</v>
      </c>
      <c r="M18" s="3"/>
      <c r="N18" s="3"/>
      <c r="O18" s="3"/>
      <c r="P18" s="164"/>
      <c r="Q18" s="26"/>
      <c r="R18" s="32">
        <f>+INPUT!$C$8</f>
        <v>6.8820000000000006E-2</v>
      </c>
      <c r="S18" s="32">
        <f>+INPUT!$C$7</f>
        <v>0.23483000000000001</v>
      </c>
      <c r="T18" s="26"/>
      <c r="U18" s="42"/>
      <c r="W18" s="26"/>
      <c r="X18" s="32">
        <f>INPUT!$C$30</f>
        <v>6.8820000000000006E-2</v>
      </c>
      <c r="Y18" s="125" t="e">
        <f>INPUT!#REF!</f>
        <v>#REF!</v>
      </c>
      <c r="Z18" s="32">
        <f>INPUT!$C$29</f>
        <v>0.24058000000000002</v>
      </c>
      <c r="AA18" s="26"/>
      <c r="AB18" s="42"/>
      <c r="AC18" s="26"/>
      <c r="AE18" s="2"/>
      <c r="AF18" s="3"/>
      <c r="AG18" s="3"/>
      <c r="AH18" s="3"/>
      <c r="AI18" s="3"/>
    </row>
    <row r="19" spans="1:35" x14ac:dyDescent="0.2">
      <c r="A19" s="3"/>
      <c r="B19" s="3"/>
      <c r="C19" s="3"/>
      <c r="D19" s="3"/>
      <c r="E19" s="164"/>
      <c r="F19" s="164"/>
      <c r="G19" s="3"/>
      <c r="H19" s="3"/>
      <c r="I19" s="3"/>
      <c r="J19" s="164"/>
      <c r="K19" s="3"/>
      <c r="L19" s="164"/>
      <c r="M19" s="3"/>
      <c r="N19" s="3"/>
      <c r="O19" s="3"/>
      <c r="P19" s="3"/>
      <c r="Q19" s="26"/>
      <c r="R19" s="3" t="s">
        <v>14</v>
      </c>
      <c r="S19" s="3" t="s">
        <v>14</v>
      </c>
      <c r="T19" s="26"/>
      <c r="U19" s="3"/>
      <c r="W19" s="26"/>
      <c r="X19" s="3" t="s">
        <v>14</v>
      </c>
      <c r="Y19" s="126" t="s">
        <v>14</v>
      </c>
      <c r="Z19" s="3" t="s">
        <v>14</v>
      </c>
      <c r="AA19" s="26"/>
      <c r="AB19" s="3"/>
      <c r="AC19" s="26"/>
      <c r="AE19" s="2"/>
      <c r="AF19" s="3"/>
      <c r="AG19" s="3"/>
      <c r="AH19" s="3"/>
      <c r="AI19" s="3"/>
    </row>
    <row r="20" spans="1:3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S20" s="3"/>
      <c r="T20" s="3"/>
      <c r="U20" s="3"/>
      <c r="X20" s="3"/>
      <c r="Y20" s="3"/>
      <c r="Z20" s="3"/>
      <c r="AA20" s="3"/>
      <c r="AB20" s="3"/>
      <c r="AC20" s="3"/>
    </row>
    <row r="21" spans="1:35" x14ac:dyDescent="0.2">
      <c r="A21" s="1">
        <v>500</v>
      </c>
      <c r="C21" s="29">
        <f>+T21</f>
        <v>55.854657763661173</v>
      </c>
      <c r="D21" s="29">
        <f>+AA21</f>
        <v>60.055003230145431</v>
      </c>
      <c r="E21" s="29">
        <f>+D21-C21</f>
        <v>4.2003454664842579</v>
      </c>
      <c r="F21" s="54">
        <f>ROUND(+E21/C21,4)</f>
        <v>7.5200000000000003E-2</v>
      </c>
      <c r="G21" s="89">
        <f>ROUND($R$10*$A21,2)</f>
        <v>-0.26</v>
      </c>
      <c r="H21" s="89">
        <f>ROUND($R$11*$A21,2)</f>
        <v>0.91</v>
      </c>
      <c r="I21" s="89">
        <f>ROUND($R$12*$A21,2)</f>
        <v>2.16</v>
      </c>
      <c r="J21" s="29">
        <f>+C21+G21+H21+I21</f>
        <v>58.664657763661168</v>
      </c>
      <c r="K21" s="29">
        <f>+D21+G21+H21+I21</f>
        <v>62.865003230145433</v>
      </c>
      <c r="L21" s="54">
        <f>ROUND((K21-J21)/J21,4)</f>
        <v>7.1599999999999997E-2</v>
      </c>
      <c r="Q21" s="7">
        <f>+INPUT!$C$4</f>
        <v>12.25</v>
      </c>
      <c r="R21" s="6">
        <f>(+$A21*$R$39)*R$18</f>
        <v>30.598323912444059</v>
      </c>
      <c r="S21" s="6">
        <f>(+$A21*$S$39)*S$18</f>
        <v>13.006333851217116</v>
      </c>
      <c r="T21" s="6">
        <f>SUM(Q21:S21)</f>
        <v>55.854657763661173</v>
      </c>
      <c r="U21" s="6"/>
      <c r="W21" s="7">
        <f>INPUT!$C$26</f>
        <v>16.131875000000001</v>
      </c>
      <c r="X21" s="297">
        <f>(+$A21*$X$39)*X$18</f>
        <v>30.598323912444059</v>
      </c>
      <c r="Y21" s="6"/>
      <c r="Z21" s="297">
        <f>(+$A21*$Z$39)*Z$18</f>
        <v>13.324804317701375</v>
      </c>
      <c r="AA21" s="6">
        <f>SUM(W21:Z21)</f>
        <v>60.055003230145431</v>
      </c>
      <c r="AB21" s="6"/>
      <c r="AC21" s="6"/>
      <c r="AF21" s="6">
        <f>AA21-T21</f>
        <v>4.2003454664842579</v>
      </c>
      <c r="AH21" s="8">
        <f>AA21/T21-1</f>
        <v>7.5201346399028202E-2</v>
      </c>
      <c r="AI21" s="8"/>
    </row>
    <row r="22" spans="1:35" x14ac:dyDescent="0.2">
      <c r="A22" s="1"/>
      <c r="Q22" s="7"/>
      <c r="R22" s="7"/>
      <c r="S22" s="7"/>
      <c r="T22" s="6"/>
      <c r="U22" s="6"/>
      <c r="W22" s="7"/>
      <c r="X22" s="7"/>
      <c r="Y22" s="7"/>
      <c r="Z22" s="7"/>
      <c r="AA22" s="6"/>
      <c r="AB22" s="6"/>
      <c r="AC22" s="6"/>
      <c r="AH22" s="8"/>
      <c r="AI22" s="8"/>
    </row>
    <row r="23" spans="1:35" x14ac:dyDescent="0.2">
      <c r="A23" s="1">
        <v>750</v>
      </c>
      <c r="C23" s="29">
        <f>+T23</f>
        <v>77.656986645491756</v>
      </c>
      <c r="D23" s="29">
        <f>+AA23</f>
        <v>82.016567345218149</v>
      </c>
      <c r="E23" s="29">
        <f>+D23-C23</f>
        <v>4.3595806997263935</v>
      </c>
      <c r="F23" s="54">
        <f>ROUND(+E23/C23,4)</f>
        <v>5.6099999999999997E-2</v>
      </c>
      <c r="G23" s="89">
        <f>ROUND($R$10*$A23,2)</f>
        <v>-0.4</v>
      </c>
      <c r="H23" s="89">
        <f>ROUND($R$11*$A23,2)</f>
        <v>1.36</v>
      </c>
      <c r="I23" s="89">
        <f>ROUND($R$12*$A23,2)</f>
        <v>3.24</v>
      </c>
      <c r="J23" s="29">
        <f>+C23+G23+H23+I23</f>
        <v>81.856986645491745</v>
      </c>
      <c r="K23" s="29">
        <f>+D23+G23+H23+I23</f>
        <v>86.216567345218138</v>
      </c>
      <c r="L23" s="54">
        <f>ROUND((K23-J23)/J23,4)</f>
        <v>5.33E-2</v>
      </c>
      <c r="Q23" s="7">
        <f>$Q$21</f>
        <v>12.25</v>
      </c>
      <c r="R23" s="6">
        <f>(+$A23*$R$39)*R$18</f>
        <v>45.897485868666088</v>
      </c>
      <c r="S23" s="6">
        <f>(+$A23*$S$39)*S$18</f>
        <v>19.509500776825671</v>
      </c>
      <c r="T23" s="6">
        <f>SUM(Q23:S23)</f>
        <v>77.656986645491756</v>
      </c>
      <c r="U23" s="6"/>
      <c r="W23" s="7">
        <f>+$W$21</f>
        <v>16.131875000000001</v>
      </c>
      <c r="X23" s="297">
        <f>(+$A23*$X$39)*X$18</f>
        <v>45.897485868666088</v>
      </c>
      <c r="Y23" s="6"/>
      <c r="Z23" s="297">
        <f>(+$A23*$Z$39)*Z$18</f>
        <v>19.987206476552061</v>
      </c>
      <c r="AA23" s="6">
        <f>SUM(W23:Z23)</f>
        <v>82.016567345218149</v>
      </c>
      <c r="AB23" s="6"/>
      <c r="AC23" s="6"/>
      <c r="AF23" s="6">
        <f>AA23-T23</f>
        <v>4.3595806997263935</v>
      </c>
      <c r="AH23" s="8">
        <f>AA23/T23-1</f>
        <v>5.6138937242415921E-2</v>
      </c>
      <c r="AI23" s="8"/>
    </row>
    <row r="24" spans="1:35" x14ac:dyDescent="0.2">
      <c r="A24" s="1"/>
      <c r="C24" s="29"/>
      <c r="D24" s="29"/>
      <c r="E24" s="29"/>
      <c r="F24" s="54"/>
      <c r="G24" s="29"/>
      <c r="H24" s="29"/>
      <c r="I24" s="29"/>
      <c r="J24" s="29"/>
      <c r="K24" s="29"/>
      <c r="L24" s="54"/>
      <c r="Q24" s="55"/>
      <c r="R24" s="55"/>
      <c r="S24" s="55"/>
      <c r="T24" s="6"/>
      <c r="U24" s="6"/>
      <c r="W24" s="7"/>
      <c r="X24" s="55"/>
      <c r="Y24" s="55"/>
      <c r="Z24" s="55"/>
      <c r="AA24" s="6"/>
      <c r="AB24" s="6"/>
      <c r="AC24" s="6"/>
      <c r="AH24" s="27"/>
      <c r="AI24" s="27"/>
    </row>
    <row r="25" spans="1:35" s="10" customFormat="1" x14ac:dyDescent="0.2">
      <c r="A25" s="14">
        <v>900</v>
      </c>
      <c r="C25" s="11">
        <f>+T25</f>
        <v>90.738383974590107</v>
      </c>
      <c r="D25" s="267">
        <f>+AA25</f>
        <v>95.193505814261769</v>
      </c>
      <c r="E25" s="267">
        <f>+D25-C25</f>
        <v>4.4551218396716621</v>
      </c>
      <c r="F25" s="268">
        <f>ROUND(+E25/C25,4)</f>
        <v>4.9099999999999998E-2</v>
      </c>
      <c r="G25" s="269">
        <f>ROUND($R$10*$A25,2)</f>
        <v>-0.48</v>
      </c>
      <c r="H25" s="269">
        <f>ROUND($R$11*$A25,2)</f>
        <v>1.63</v>
      </c>
      <c r="I25" s="269">
        <f>ROUND($R$12*$A25,2)</f>
        <v>3.89</v>
      </c>
      <c r="J25" s="267">
        <f>+C25+G25+H25+I25</f>
        <v>95.778383974590099</v>
      </c>
      <c r="K25" s="267">
        <f>+D25+G25+H25+I25</f>
        <v>100.23350581426176</v>
      </c>
      <c r="L25" s="268">
        <f>ROUND((K25-J25)/J25,4)</f>
        <v>4.65E-2</v>
      </c>
      <c r="Q25" s="55">
        <f>$Q$21</f>
        <v>12.25</v>
      </c>
      <c r="R25" s="6">
        <f>(+$A25*$R$39)*R$18</f>
        <v>55.076983042399306</v>
      </c>
      <c r="S25" s="6">
        <f>(+$A25*$S$39)*S$18</f>
        <v>23.411400932190809</v>
      </c>
      <c r="T25" s="6">
        <f>SUM(Q25:S25)</f>
        <v>90.738383974590107</v>
      </c>
      <c r="U25" s="6"/>
      <c r="W25" s="7">
        <f>+$W$21</f>
        <v>16.131875000000001</v>
      </c>
      <c r="X25" s="297">
        <f>(+$A25*$X$39)*X$18</f>
        <v>55.076983042399306</v>
      </c>
      <c r="Y25" s="6"/>
      <c r="Z25" s="297">
        <f>(+$A25*$Z$39)*Z$18</f>
        <v>23.984647771862473</v>
      </c>
      <c r="AA25" s="6">
        <f>SUM(W25:Z25)</f>
        <v>95.193505814261769</v>
      </c>
      <c r="AB25" s="6"/>
      <c r="AC25" s="11"/>
      <c r="AF25" s="11">
        <f>AA25-T25</f>
        <v>4.4551218396716621</v>
      </c>
      <c r="AH25" s="27">
        <f>AA25/T25-1</f>
        <v>4.9098536303217033E-2</v>
      </c>
      <c r="AI25" s="27"/>
    </row>
    <row r="26" spans="1:35" x14ac:dyDescent="0.2">
      <c r="A26" s="1"/>
      <c r="Q26" s="7"/>
      <c r="R26" s="7"/>
      <c r="S26" s="7"/>
      <c r="T26" s="6"/>
      <c r="U26" s="6"/>
      <c r="W26" s="7"/>
      <c r="X26" s="7"/>
      <c r="Y26" s="7"/>
      <c r="Z26" s="7"/>
      <c r="AA26" s="6"/>
      <c r="AB26" s="6"/>
      <c r="AC26" s="6"/>
      <c r="AH26" s="8"/>
      <c r="AI26" s="8"/>
    </row>
    <row r="27" spans="1:35" x14ac:dyDescent="0.2">
      <c r="A27" s="14">
        <v>1250</v>
      </c>
      <c r="B27" s="10"/>
      <c r="C27" s="267">
        <f>+T27</f>
        <v>121.26164440915295</v>
      </c>
      <c r="D27" s="267">
        <f>+AA27</f>
        <v>125.9396955753636</v>
      </c>
      <c r="E27" s="267">
        <f>+D27-C27</f>
        <v>4.6780511662106505</v>
      </c>
      <c r="F27" s="268">
        <f>ROUND(+E27/C27,4)</f>
        <v>3.8600000000000002E-2</v>
      </c>
      <c r="G27" s="269">
        <f>ROUND($R$10*$A27,2)</f>
        <v>-0.66</v>
      </c>
      <c r="H27" s="269">
        <f>ROUND($R$11*$A27,2)</f>
        <v>2.2599999999999998</v>
      </c>
      <c r="I27" s="269">
        <f>ROUND($R$12*$A27,2)</f>
        <v>5.4</v>
      </c>
      <c r="J27" s="267">
        <f>+C27+G27+H27+I27</f>
        <v>128.26164440915295</v>
      </c>
      <c r="K27" s="267">
        <f>+D27+G27+H27+I27</f>
        <v>132.9396955753636</v>
      </c>
      <c r="L27" s="268">
        <f>ROUND((K27-J27)/J27,4)</f>
        <v>3.6499999999999998E-2</v>
      </c>
      <c r="M27" s="29"/>
      <c r="Q27" s="7">
        <f>$Q$21</f>
        <v>12.25</v>
      </c>
      <c r="R27" s="6">
        <f>(+$A27*$R$39)*R$18</f>
        <v>76.495809781110154</v>
      </c>
      <c r="S27" s="6">
        <f>(+$A27*$S$39)*S$18</f>
        <v>32.515834628042789</v>
      </c>
      <c r="T27" s="6">
        <f>SUM(Q27:S27)</f>
        <v>121.26164440915295</v>
      </c>
      <c r="U27" s="6"/>
      <c r="W27" s="7">
        <f>+$W$21</f>
        <v>16.131875000000001</v>
      </c>
      <c r="X27" s="297">
        <f>(+$A27*$X$39)*X$18</f>
        <v>76.495809781110154</v>
      </c>
      <c r="Y27" s="6"/>
      <c r="Z27" s="297">
        <f>(+$A27*$Z$39)*Z$18</f>
        <v>33.312010794253439</v>
      </c>
      <c r="AA27" s="6">
        <f>SUM(W27:Z27)</f>
        <v>125.9396955753636</v>
      </c>
      <c r="AB27" s="6"/>
      <c r="AC27" s="6"/>
      <c r="AF27" s="6">
        <f>AA27-T27</f>
        <v>4.6780511662106505</v>
      </c>
      <c r="AH27" s="8">
        <f>AA27/T27-1</f>
        <v>3.8578160382076732E-2</v>
      </c>
      <c r="AI27" s="8"/>
    </row>
    <row r="28" spans="1:35" x14ac:dyDescent="0.2">
      <c r="Q28" s="7"/>
      <c r="R28" s="7"/>
      <c r="S28" s="7"/>
      <c r="T28" s="6"/>
      <c r="U28" s="6"/>
      <c r="W28" s="7"/>
      <c r="X28" s="7"/>
      <c r="Y28" s="7"/>
      <c r="Z28" s="7"/>
      <c r="AA28" s="6"/>
      <c r="AB28" s="6"/>
      <c r="AC28" s="6"/>
      <c r="AH28" s="8"/>
      <c r="AI28" s="8"/>
    </row>
    <row r="29" spans="1:35" x14ac:dyDescent="0.2">
      <c r="A29" s="1">
        <v>1500</v>
      </c>
      <c r="C29" s="29">
        <f>+T29</f>
        <v>143.06397329098351</v>
      </c>
      <c r="D29" s="29">
        <f>+AA29</f>
        <v>147.90125969043629</v>
      </c>
      <c r="E29" s="29">
        <f>+D29-C29</f>
        <v>4.8372863994527791</v>
      </c>
      <c r="F29" s="54">
        <f>ROUND(+E29/C29,4)</f>
        <v>3.3799999999999997E-2</v>
      </c>
      <c r="G29" s="89">
        <f>ROUND($R$10*$A29,2)</f>
        <v>-0.79</v>
      </c>
      <c r="H29" s="89">
        <f>ROUND($R$11*$A29,2)</f>
        <v>2.72</v>
      </c>
      <c r="I29" s="89">
        <f>ROUND($R$12*$A29,2)</f>
        <v>6.48</v>
      </c>
      <c r="J29" s="29">
        <f>+C29+G29+H29+I29</f>
        <v>151.47397329098351</v>
      </c>
      <c r="K29" s="29">
        <f>+D29+G29+H29+I29</f>
        <v>156.31125969043629</v>
      </c>
      <c r="L29" s="54">
        <f>ROUND((K29-J29)/J29,4)</f>
        <v>3.1899999999999998E-2</v>
      </c>
      <c r="Q29" s="7">
        <f>$Q$21</f>
        <v>12.25</v>
      </c>
      <c r="R29" s="6">
        <f>(+$A29*$R$39)*R$18</f>
        <v>91.794971737332176</v>
      </c>
      <c r="S29" s="6">
        <f>(+$A29*$S$39)*S$18</f>
        <v>39.019001553651343</v>
      </c>
      <c r="T29" s="6">
        <f>SUM(Q29:S29)</f>
        <v>143.06397329098351</v>
      </c>
      <c r="U29" s="6"/>
      <c r="W29" s="7">
        <f>+$W$21</f>
        <v>16.131875000000001</v>
      </c>
      <c r="X29" s="297">
        <f>(+$A29*$X$39)*X$18</f>
        <v>91.794971737332176</v>
      </c>
      <c r="Y29" s="6"/>
      <c r="Z29" s="297">
        <f>(+$A29*$Z$39)*Z$18</f>
        <v>39.974412953104121</v>
      </c>
      <c r="AA29" s="6">
        <f>SUM(W29:Z29)</f>
        <v>147.90125969043629</v>
      </c>
      <c r="AB29" s="6"/>
      <c r="AC29" s="6"/>
      <c r="AF29" s="6">
        <f>AA29-T29</f>
        <v>4.8372863994527791</v>
      </c>
      <c r="AH29" s="8">
        <f>AA29/T29-1</f>
        <v>3.3812051267540388E-2</v>
      </c>
      <c r="AI29" s="8"/>
    </row>
    <row r="30" spans="1:35" x14ac:dyDescent="0.2">
      <c r="A30" s="1"/>
      <c r="Q30" s="7"/>
      <c r="R30" s="7"/>
      <c r="S30" s="7"/>
      <c r="T30" s="6"/>
      <c r="U30" s="6"/>
      <c r="W30" s="7"/>
      <c r="X30" s="7"/>
      <c r="Y30" s="7"/>
      <c r="Z30" s="7"/>
      <c r="AA30" s="6"/>
      <c r="AB30" s="6"/>
      <c r="AC30" s="6"/>
      <c r="AH30" s="8"/>
      <c r="AI30" s="8"/>
    </row>
    <row r="31" spans="1:35" x14ac:dyDescent="0.2">
      <c r="A31" s="1">
        <v>2000</v>
      </c>
      <c r="C31" s="29">
        <f>+T31</f>
        <v>186.66863105464469</v>
      </c>
      <c r="D31" s="29">
        <f>+AA31</f>
        <v>191.82438792058173</v>
      </c>
      <c r="E31" s="29">
        <f>+D31-C31</f>
        <v>5.1557568659370361</v>
      </c>
      <c r="F31" s="54">
        <f>ROUND(+E31/C31,4)</f>
        <v>2.76E-2</v>
      </c>
      <c r="G31" s="89">
        <f>ROUND($R$10*$A31,2)</f>
        <v>-1.06</v>
      </c>
      <c r="H31" s="89">
        <f>ROUND($R$11*$A31,2)</f>
        <v>3.62</v>
      </c>
      <c r="I31" s="89">
        <f>ROUND($R$12*$A31,2)</f>
        <v>8.64</v>
      </c>
      <c r="J31" s="29">
        <f>+C31+G31+H31+I31</f>
        <v>197.86863105464471</v>
      </c>
      <c r="K31" s="29">
        <f>+D31+G31+H31+I31</f>
        <v>203.02438792058172</v>
      </c>
      <c r="L31" s="54">
        <f>ROUND((K31-J31)/J31,4)</f>
        <v>2.6100000000000002E-2</v>
      </c>
      <c r="Q31" s="7">
        <f>$Q$21</f>
        <v>12.25</v>
      </c>
      <c r="R31" s="6">
        <f>(+$A31*$R$39)*R$18</f>
        <v>122.39329564977623</v>
      </c>
      <c r="S31" s="6">
        <f>(+$A31*$S$39)*S$18</f>
        <v>52.025335404868464</v>
      </c>
      <c r="T31" s="6">
        <f>SUM(Q31:S31)</f>
        <v>186.66863105464469</v>
      </c>
      <c r="U31" s="6"/>
      <c r="W31" s="7">
        <f>+$W$21</f>
        <v>16.131875000000001</v>
      </c>
      <c r="X31" s="297">
        <f>(+$A31*$X$39)*X$18</f>
        <v>122.39329564977623</v>
      </c>
      <c r="Y31" s="6"/>
      <c r="Z31" s="297">
        <f>(+$A31*$Z$39)*Z$18</f>
        <v>53.299217270805499</v>
      </c>
      <c r="AA31" s="6">
        <f>SUM(W31:Z31)</f>
        <v>191.82438792058173</v>
      </c>
      <c r="AB31" s="6"/>
      <c r="AC31" s="6"/>
      <c r="AF31" s="6">
        <f>AA31-T31</f>
        <v>5.1557568659370361</v>
      </c>
      <c r="AH31" s="8">
        <f>AA31/T31-1</f>
        <v>2.7619835409987914E-2</v>
      </c>
      <c r="AI31" s="8"/>
    </row>
    <row r="32" spans="1:35" x14ac:dyDescent="0.2">
      <c r="Q32" s="7"/>
      <c r="R32" s="7"/>
      <c r="S32" s="7"/>
      <c r="T32" s="6"/>
      <c r="U32" s="6"/>
      <c r="W32" s="7"/>
      <c r="X32" s="7"/>
      <c r="Y32" s="7"/>
      <c r="Z32" s="7"/>
      <c r="AA32" s="6"/>
      <c r="AB32" s="6"/>
      <c r="AC32" s="6"/>
      <c r="AH32" s="8"/>
      <c r="AI32" s="8"/>
    </row>
    <row r="33" spans="1:35" x14ac:dyDescent="0.2">
      <c r="A33" s="1">
        <v>2500</v>
      </c>
      <c r="C33" s="29">
        <f>+T33</f>
        <v>230.2732888183059</v>
      </c>
      <c r="D33" s="29">
        <f>+AA33</f>
        <v>235.74751615072719</v>
      </c>
      <c r="E33" s="29">
        <f>+D33-C33</f>
        <v>5.4742273324212931</v>
      </c>
      <c r="F33" s="54">
        <f>ROUND(+E33/C33,4)</f>
        <v>2.3800000000000002E-2</v>
      </c>
      <c r="G33" s="89">
        <f>ROUND($R$10*$A33,2)</f>
        <v>-1.32</v>
      </c>
      <c r="H33" s="89">
        <f>ROUND($R$11*$A33,2)</f>
        <v>4.53</v>
      </c>
      <c r="I33" s="89">
        <f>ROUND($R$12*$A33,2)</f>
        <v>10.8</v>
      </c>
      <c r="J33" s="29">
        <f>+C33+G33+H33+I33</f>
        <v>244.28328881830592</v>
      </c>
      <c r="K33" s="29">
        <f>+D33+G33+H33+I33</f>
        <v>249.75751615072721</v>
      </c>
      <c r="L33" s="54">
        <f>ROUND((K33-J33)/J33,4)</f>
        <v>2.24E-2</v>
      </c>
      <c r="Q33" s="7">
        <f>$Q$21</f>
        <v>12.25</v>
      </c>
      <c r="R33" s="6">
        <f>(+$A33*$R$39)*R$18</f>
        <v>152.99161956222031</v>
      </c>
      <c r="S33" s="6">
        <f>(+$A33*$S$39)*S$18</f>
        <v>65.031669256085578</v>
      </c>
      <c r="T33" s="6">
        <f>SUM(Q33:S33)</f>
        <v>230.2732888183059</v>
      </c>
      <c r="U33" s="6"/>
      <c r="W33" s="7">
        <f>+$W$21</f>
        <v>16.131875000000001</v>
      </c>
      <c r="X33" s="297">
        <f>(+$A33*$X$39)*X$18</f>
        <v>152.99161956222031</v>
      </c>
      <c r="Y33" s="6"/>
      <c r="Z33" s="297">
        <f>(+$A33*$Z$39)*Z$18</f>
        <v>66.624021588506878</v>
      </c>
      <c r="AA33" s="6">
        <f>SUM(W33:Z33)</f>
        <v>235.74751615072719</v>
      </c>
      <c r="AB33" s="6"/>
      <c r="AC33" s="6"/>
      <c r="AH33" s="8"/>
      <c r="AI33" s="8"/>
    </row>
    <row r="34" spans="1:35" x14ac:dyDescent="0.2">
      <c r="Q34" s="7"/>
      <c r="R34" s="7"/>
      <c r="S34" s="7"/>
      <c r="T34" s="6"/>
      <c r="U34" s="6"/>
      <c r="W34" s="7"/>
      <c r="X34" s="7"/>
      <c r="Y34" s="7"/>
      <c r="Z34" s="7"/>
      <c r="AA34" s="6"/>
      <c r="AB34" s="6"/>
      <c r="AC34" s="6"/>
      <c r="AH34" s="8"/>
      <c r="AI34" s="8"/>
    </row>
    <row r="35" spans="1:35" x14ac:dyDescent="0.2">
      <c r="A35" s="1">
        <v>3000</v>
      </c>
      <c r="C35" s="29">
        <f>+T35</f>
        <v>273.87794658196702</v>
      </c>
      <c r="D35" s="29">
        <f>+AA35</f>
        <v>279.6706443808726</v>
      </c>
      <c r="E35" s="29">
        <f>+D35-C35</f>
        <v>5.7926977989055786</v>
      </c>
      <c r="F35" s="54">
        <f>ROUND(+E35/C35,4)</f>
        <v>2.12E-2</v>
      </c>
      <c r="G35" s="89">
        <f>ROUND($R$10*$A35,2)</f>
        <v>-1.59</v>
      </c>
      <c r="H35" s="89">
        <f>ROUND($R$11*$A35,2)</f>
        <v>5.43</v>
      </c>
      <c r="I35" s="89">
        <f>ROUND($R$12*$A35,2)</f>
        <v>12.96</v>
      </c>
      <c r="J35" s="29">
        <f>+C35+G35+H35+I35</f>
        <v>290.67794658196703</v>
      </c>
      <c r="K35" s="29">
        <f>+D35+G35+H35+I35</f>
        <v>296.47064438087261</v>
      </c>
      <c r="L35" s="54">
        <f>ROUND((K35-J35)/J35,4)</f>
        <v>1.9900000000000001E-2</v>
      </c>
      <c r="Q35" s="7">
        <f>$Q$21</f>
        <v>12.25</v>
      </c>
      <c r="R35" s="6">
        <f>(+$A35*$R$39)*R$18</f>
        <v>183.58994347466435</v>
      </c>
      <c r="S35" s="6">
        <f>(+$A35*$S$39)*S$18</f>
        <v>78.038003107302686</v>
      </c>
      <c r="T35" s="6">
        <f>SUM(Q35:S35)</f>
        <v>273.87794658196702</v>
      </c>
      <c r="U35" s="6"/>
      <c r="W35" s="7">
        <f>+$W$21</f>
        <v>16.131875000000001</v>
      </c>
      <c r="X35" s="297">
        <f>(+$A35*$X$39)*X$18</f>
        <v>183.58994347466435</v>
      </c>
      <c r="Y35" s="6"/>
      <c r="Z35" s="297">
        <f>(+$A35*$Z$39)*Z$18</f>
        <v>79.948825906208242</v>
      </c>
      <c r="AA35" s="6">
        <f>SUM(W35:Z35)</f>
        <v>279.6706443808726</v>
      </c>
      <c r="AB35" s="6"/>
      <c r="AC35" s="6"/>
      <c r="AF35" s="6">
        <f>AA35-T35</f>
        <v>5.7926977989055786</v>
      </c>
      <c r="AH35" s="8">
        <f>AA35/T35-1</f>
        <v>2.115065441083952E-2</v>
      </c>
      <c r="AI35" s="8"/>
    </row>
    <row r="36" spans="1:35" x14ac:dyDescent="0.2">
      <c r="A36" s="1"/>
      <c r="C36" s="29"/>
      <c r="D36" s="29"/>
      <c r="E36" s="29"/>
      <c r="F36" s="54"/>
      <c r="G36" s="89"/>
      <c r="H36" s="89"/>
      <c r="I36" s="89"/>
      <c r="J36" s="29"/>
      <c r="K36" s="29"/>
      <c r="L36" s="54"/>
      <c r="Q36" s="7"/>
      <c r="R36" s="6"/>
      <c r="S36" s="6"/>
      <c r="T36" s="6"/>
      <c r="U36" s="6"/>
      <c r="W36" s="7"/>
      <c r="X36" s="6"/>
      <c r="Y36" s="6"/>
      <c r="Z36" s="6"/>
      <c r="AA36" s="6"/>
      <c r="AB36" s="6"/>
      <c r="AC36" s="6"/>
      <c r="AF36" s="6"/>
      <c r="AH36" s="8"/>
      <c r="AI36" s="8"/>
    </row>
    <row r="37" spans="1:35" x14ac:dyDescent="0.2">
      <c r="A37" s="17" t="s">
        <v>314</v>
      </c>
    </row>
    <row r="38" spans="1:35" x14ac:dyDescent="0.2">
      <c r="A38" s="170" t="str">
        <f>("Average usage = "&amp;TEXT(INPUT!C20*1,"000")&amp;" kWh per month")</f>
        <v>Average usage = 900 kWh per month</v>
      </c>
      <c r="Q38" s="7"/>
      <c r="R38" s="7"/>
    </row>
    <row r="39" spans="1:35" x14ac:dyDescent="0.2">
      <c r="A39" s="172" t="s">
        <v>315</v>
      </c>
      <c r="Q39" s="30" t="s">
        <v>283</v>
      </c>
      <c r="R39" s="130">
        <f>X39</f>
        <v>0.88922766383156226</v>
      </c>
      <c r="S39" s="130">
        <f>Z39</f>
        <v>0.11077233616843772</v>
      </c>
      <c r="W39" s="30" t="s">
        <v>283</v>
      </c>
      <c r="X39" s="130">
        <f>503093/(503093+62671)</f>
        <v>0.88922766383156226</v>
      </c>
      <c r="Y39" s="130"/>
      <c r="Z39" s="130">
        <f>62671/(503093+62671)</f>
        <v>0.11077233616843772</v>
      </c>
    </row>
    <row r="40" spans="1:35" x14ac:dyDescent="0.2">
      <c r="A40" s="171" t="str">
        <f>+'Rate Case Constants'!C26</f>
        <v>Calculations may vary from other schedules due to rounding</v>
      </c>
      <c r="X40" s="131"/>
      <c r="Z40" s="296"/>
    </row>
    <row r="41" spans="1:35" x14ac:dyDescent="0.2">
      <c r="A41" s="171"/>
    </row>
    <row r="43" spans="1:35" x14ac:dyDescent="0.2">
      <c r="A43" s="171"/>
    </row>
    <row r="44" spans="1:35" ht="12" customHeight="1" x14ac:dyDescent="0.2">
      <c r="A44" s="171"/>
    </row>
    <row r="45" spans="1:35" x14ac:dyDescent="0.2">
      <c r="A45" s="172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K68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9.5703125" customWidth="1"/>
    <col min="6" max="6" width="2" customWidth="1"/>
    <col min="7" max="7" width="13.42578125" bestFit="1" customWidth="1"/>
    <col min="8" max="8" width="14.7109375" customWidth="1"/>
    <col min="9" max="9" width="10.28515625" bestFit="1" customWidth="1"/>
    <col min="10" max="10" width="9.85546875" customWidth="1"/>
    <col min="11" max="11" width="10.7109375" bestFit="1" customWidth="1"/>
    <col min="12" max="12" width="11.28515625" bestFit="1" customWidth="1"/>
    <col min="13" max="13" width="12.42578125" customWidth="1"/>
    <col min="14" max="15" width="13.42578125" bestFit="1" customWidth="1"/>
    <col min="16" max="18" width="9.85546875" customWidth="1"/>
    <col min="19" max="19" width="10" customWidth="1"/>
    <col min="20" max="20" width="13.5703125" customWidth="1"/>
    <col min="21" max="21" width="12.5703125" bestFit="1" customWidth="1"/>
    <col min="22" max="22" width="12" bestFit="1" customWidth="1"/>
    <col min="23" max="23" width="13" bestFit="1" customWidth="1"/>
    <col min="24" max="24" width="3.140625" customWidth="1"/>
    <col min="25" max="25" width="14.42578125" customWidth="1"/>
    <col min="26" max="26" width="3.85546875" customWidth="1"/>
    <col min="27" max="27" width="2.42578125" customWidth="1"/>
    <col min="28" max="28" width="14.42578125" bestFit="1" customWidth="1"/>
    <col min="29" max="29" width="12.7109375" bestFit="1" customWidth="1"/>
    <col min="30" max="31" width="11.5703125" bestFit="1" customWidth="1"/>
    <col min="32" max="32" width="12.7109375" bestFit="1" customWidth="1"/>
    <col min="33" max="33" width="12.7109375" customWidth="1"/>
    <col min="34" max="34" width="11.140625" customWidth="1"/>
    <col min="35" max="35" width="11.42578125" bestFit="1" customWidth="1"/>
    <col min="36" max="36" width="10.7109375" customWidth="1"/>
    <col min="37" max="37" width="11.42578125" bestFit="1" customWidth="1"/>
  </cols>
  <sheetData>
    <row r="1" spans="1:37" x14ac:dyDescent="0.2">
      <c r="A1" s="429" t="str">
        <f>+'Rate Case Constants'!C9</f>
        <v>LOUISVILLE GAS AND ELECTRIC COMPANY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</row>
    <row r="2" spans="1:37" x14ac:dyDescent="0.2">
      <c r="A2" s="429" t="str">
        <f>+'Rate Case Constants'!C10</f>
        <v>CASE NO. 2018-00295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37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37" x14ac:dyDescent="0.2">
      <c r="A4" s="429" t="str">
        <f>+'Rate Case Constants'!C21</f>
        <v>FORECAST PERIOD FOR THE 12 MONTHS ENDED APRIL 30, 2020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1:37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37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37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 t="str">
        <f>+'Rate Case Constants'!C25</f>
        <v>SCHEDULE N</v>
      </c>
    </row>
    <row r="8" spans="1:37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/>
      <c r="M8" s="249"/>
      <c r="N8" s="249"/>
      <c r="O8" s="249"/>
      <c r="P8" s="251" t="str">
        <f>+'Rate Case Constants'!L10</f>
        <v>PAGE 3 of 26</v>
      </c>
    </row>
    <row r="9" spans="1:37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1" t="str">
        <f>+'Rate Case Constants'!C36</f>
        <v>WITNESS:   R. M. CONROY</v>
      </c>
      <c r="T9" s="2" t="s">
        <v>502</v>
      </c>
    </row>
    <row r="10" spans="1:37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S10" s="83" t="s">
        <v>70</v>
      </c>
      <c r="T10" s="83">
        <f>INPUT!J54</f>
        <v>-5.297468641041901E-4</v>
      </c>
    </row>
    <row r="11" spans="1:37" x14ac:dyDescent="0.2">
      <c r="A11" s="260" t="s">
        <v>349</v>
      </c>
      <c r="S11" s="83" t="s">
        <v>72</v>
      </c>
      <c r="T11" s="83">
        <f>INPUT!K54</f>
        <v>1.8109460337260666E-3</v>
      </c>
    </row>
    <row r="12" spans="1:37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3" t="s">
        <v>71</v>
      </c>
      <c r="T12" s="83">
        <f>INPUT!L54</f>
        <v>4.3208222988393033E-3</v>
      </c>
    </row>
    <row r="13" spans="1:37" x14ac:dyDescent="0.2">
      <c r="A13" s="44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S13" s="127" t="s">
        <v>276</v>
      </c>
      <c r="T13" s="16"/>
      <c r="U13" s="3" t="s">
        <v>1</v>
      </c>
      <c r="V13" s="3" t="s">
        <v>1</v>
      </c>
      <c r="Y13" s="3" t="s">
        <v>71</v>
      </c>
      <c r="AC13" s="20"/>
      <c r="AD13" s="21" t="s">
        <v>9</v>
      </c>
      <c r="AE13" s="21" t="s">
        <v>9</v>
      </c>
      <c r="AF13" s="20"/>
      <c r="AG13" s="3" t="s">
        <v>71</v>
      </c>
    </row>
    <row r="14" spans="1:37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" t="s">
        <v>1</v>
      </c>
      <c r="T14" s="3" t="s">
        <v>1</v>
      </c>
      <c r="U14" s="22" t="s">
        <v>81</v>
      </c>
      <c r="V14" s="21" t="s">
        <v>82</v>
      </c>
      <c r="W14" s="3" t="s">
        <v>1</v>
      </c>
      <c r="X14" s="3"/>
      <c r="Y14" s="3" t="s">
        <v>1</v>
      </c>
      <c r="AB14" s="3" t="s">
        <v>9</v>
      </c>
      <c r="AC14" s="3" t="s">
        <v>9</v>
      </c>
      <c r="AD14" s="22" t="s">
        <v>81</v>
      </c>
      <c r="AE14" s="21" t="s">
        <v>82</v>
      </c>
      <c r="AF14" s="21" t="s">
        <v>9</v>
      </c>
      <c r="AG14" s="3" t="s">
        <v>1</v>
      </c>
      <c r="AI14" s="3"/>
    </row>
    <row r="15" spans="1:37" x14ac:dyDescent="0.2">
      <c r="C15" s="3" t="s">
        <v>23</v>
      </c>
      <c r="E15" s="3"/>
      <c r="F15" s="3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"/>
      <c r="R15" s="3"/>
      <c r="S15" s="3" t="s">
        <v>2</v>
      </c>
      <c r="T15" s="3" t="s">
        <v>57</v>
      </c>
      <c r="U15" s="21" t="s">
        <v>25</v>
      </c>
      <c r="V15" s="21" t="s">
        <v>18</v>
      </c>
      <c r="W15" s="3" t="s">
        <v>5</v>
      </c>
      <c r="X15" s="3"/>
      <c r="Y15" s="3" t="s">
        <v>75</v>
      </c>
      <c r="AB15" s="26" t="s">
        <v>56</v>
      </c>
      <c r="AC15" s="3" t="s">
        <v>57</v>
      </c>
      <c r="AD15" s="21" t="s">
        <v>25</v>
      </c>
      <c r="AE15" s="21" t="s">
        <v>18</v>
      </c>
      <c r="AF15" s="21" t="s">
        <v>5</v>
      </c>
      <c r="AG15" s="3" t="s">
        <v>75</v>
      </c>
      <c r="AI15" s="3" t="s">
        <v>6</v>
      </c>
      <c r="AJ15" s="3"/>
      <c r="AK15" s="3" t="s">
        <v>8</v>
      </c>
    </row>
    <row r="16" spans="1:37" x14ac:dyDescent="0.2">
      <c r="A16" s="3" t="s">
        <v>20</v>
      </c>
      <c r="C16" s="3" t="s">
        <v>24</v>
      </c>
      <c r="E16" s="3" t="s">
        <v>0</v>
      </c>
      <c r="F16" s="3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"/>
      <c r="R16" s="3"/>
      <c r="S16" s="26" t="s">
        <v>3</v>
      </c>
      <c r="T16" s="3" t="s">
        <v>3</v>
      </c>
      <c r="U16" s="21" t="s">
        <v>3</v>
      </c>
      <c r="V16" s="21" t="s">
        <v>3</v>
      </c>
      <c r="W16" s="3" t="s">
        <v>4</v>
      </c>
      <c r="X16" s="3"/>
      <c r="Y16" s="3" t="s">
        <v>3</v>
      </c>
      <c r="AB16" s="26" t="s">
        <v>3</v>
      </c>
      <c r="AC16" s="3" t="s">
        <v>3</v>
      </c>
      <c r="AD16" s="21" t="s">
        <v>3</v>
      </c>
      <c r="AE16" s="21" t="s">
        <v>3</v>
      </c>
      <c r="AF16" s="21" t="s">
        <v>4</v>
      </c>
      <c r="AG16" s="3" t="s">
        <v>3</v>
      </c>
      <c r="AI16" s="3" t="s">
        <v>7</v>
      </c>
      <c r="AJ16" s="3"/>
      <c r="AK16" s="3" t="s">
        <v>7</v>
      </c>
    </row>
    <row r="17" spans="1:37" x14ac:dyDescent="0.2">
      <c r="A17" s="3"/>
      <c r="C17" s="3"/>
      <c r="E17" s="3"/>
      <c r="F17" s="3"/>
      <c r="G17" s="26" t="s">
        <v>340</v>
      </c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"/>
      <c r="R17" s="3"/>
      <c r="S17" s="26"/>
      <c r="T17" s="42">
        <f>+INPUT!$D$6</f>
        <v>5.1830000000000001E-2</v>
      </c>
      <c r="U17" s="43">
        <f>+INPUT!$D$14</f>
        <v>7.68</v>
      </c>
      <c r="V17" s="43">
        <f>+INPUT!$D$16</f>
        <v>3.51</v>
      </c>
      <c r="W17" s="3"/>
      <c r="X17" s="3"/>
      <c r="Y17" s="42"/>
      <c r="AB17" s="26"/>
      <c r="AC17" s="42">
        <f>+INPUT!$D$28</f>
        <v>5.1830000000000001E-2</v>
      </c>
      <c r="AD17" s="43">
        <f>+INPUT!$D$35</f>
        <v>7.6201530622096811</v>
      </c>
      <c r="AE17" s="43">
        <f>+INPUT!$D$37</f>
        <v>3.4826480792130181</v>
      </c>
      <c r="AF17" s="21"/>
      <c r="AG17" s="42"/>
      <c r="AI17" s="3"/>
      <c r="AJ17" s="3"/>
      <c r="AK17" s="3"/>
    </row>
    <row r="18" spans="1:37" x14ac:dyDescent="0.2">
      <c r="A18" s="16"/>
      <c r="B18" s="16"/>
      <c r="C18" s="80"/>
      <c r="D18" s="16"/>
      <c r="E18" s="80"/>
      <c r="F18" s="80"/>
      <c r="G18" s="234"/>
      <c r="H18" s="234"/>
      <c r="I18" s="234" t="str">
        <f>("[ "&amp;H13&amp;" - "&amp;G13&amp;" ]")</f>
        <v>[ B - A ]</v>
      </c>
      <c r="J18" s="234" t="str">
        <f>("[ "&amp;I13&amp;" / "&amp;G13&amp;" ]")</f>
        <v>[ C / A ]</v>
      </c>
      <c r="K18" s="262"/>
      <c r="L18" s="262"/>
      <c r="M18" s="262"/>
      <c r="N18" s="234" t="str">
        <f>("["&amp;G13&amp;"+"&amp;$K$13&amp;"+"&amp;$L$13&amp;"+"&amp;$M$13&amp;"]")</f>
        <v>[A+E+F+G]</v>
      </c>
      <c r="O18" s="234" t="str">
        <f>("["&amp;H13&amp;"+"&amp;$K$13&amp;"+"&amp;$L$13&amp;"+"&amp;$M$13&amp;"]")</f>
        <v>[B+E+F+G]</v>
      </c>
      <c r="P18" s="234" t="str">
        <f>("[("&amp;O13&amp;" - "&amp;N13&amp;")/"&amp;N13&amp;"]")</f>
        <v>[(I - H)/H]</v>
      </c>
      <c r="Q18" s="3"/>
      <c r="R18" s="3"/>
      <c r="T18" s="26" t="s">
        <v>14</v>
      </c>
      <c r="U18" s="26" t="s">
        <v>19</v>
      </c>
      <c r="V18" s="26" t="s">
        <v>19</v>
      </c>
      <c r="W18" s="3"/>
      <c r="X18" s="3"/>
      <c r="Y18" s="26"/>
      <c r="AB18" s="26"/>
      <c r="AC18" s="26" t="s">
        <v>14</v>
      </c>
      <c r="AD18" s="26" t="s">
        <v>19</v>
      </c>
      <c r="AE18" s="26" t="s">
        <v>19</v>
      </c>
      <c r="AF18" s="21"/>
      <c r="AG18" s="26"/>
      <c r="AI18" s="3"/>
      <c r="AJ18" s="3"/>
      <c r="AK18" s="3"/>
    </row>
    <row r="19" spans="1:37" x14ac:dyDescent="0.2">
      <c r="C19" s="3"/>
      <c r="E19" s="3"/>
      <c r="F19" s="3"/>
      <c r="G19" s="3"/>
      <c r="H19" s="3"/>
      <c r="I19" s="164"/>
      <c r="J19" s="164"/>
      <c r="K19" s="3"/>
      <c r="L19" s="3"/>
      <c r="M19" s="3"/>
      <c r="N19" s="164"/>
      <c r="O19" s="3"/>
      <c r="P19" s="164"/>
      <c r="Q19" s="3"/>
      <c r="R19" s="3"/>
      <c r="U19" s="3"/>
      <c r="V19" s="3"/>
      <c r="W19" s="3"/>
      <c r="X19" s="3"/>
      <c r="AB19" s="26"/>
      <c r="AC19" s="3"/>
      <c r="AD19" s="21"/>
      <c r="AE19" s="21"/>
      <c r="AF19" s="21"/>
      <c r="AI19" s="3"/>
      <c r="AJ19" s="3"/>
      <c r="AK19" s="3"/>
    </row>
    <row r="20" spans="1:37" x14ac:dyDescent="0.2">
      <c r="A20" s="1">
        <v>2</v>
      </c>
      <c r="B20" s="1"/>
      <c r="C20" s="13">
        <v>0.3</v>
      </c>
      <c r="E20" s="1">
        <f>C20*($A$20*730)</f>
        <v>438</v>
      </c>
      <c r="F20" s="1"/>
      <c r="G20" s="29">
        <f>+W20</f>
        <v>57.331540000000004</v>
      </c>
      <c r="H20" s="29">
        <f>+AF20</f>
        <v>61.0390172828454</v>
      </c>
      <c r="I20" s="29">
        <f>+H20-G20</f>
        <v>3.7074772828453959</v>
      </c>
      <c r="J20" s="54">
        <f>ROUND(+I20/G20,4)</f>
        <v>6.4699999999999994E-2</v>
      </c>
      <c r="K20" s="89">
        <f>ROUND($T$10*$E20,2)</f>
        <v>-0.23</v>
      </c>
      <c r="L20" s="89">
        <f>ROUND($T$11*$E20,2)</f>
        <v>0.79</v>
      </c>
      <c r="M20" s="89">
        <f>ROUND($T$12*$E20,2)</f>
        <v>1.89</v>
      </c>
      <c r="N20" s="29">
        <f>+G20+K20+L20+M20</f>
        <v>59.781540000000007</v>
      </c>
      <c r="O20" s="29">
        <f>+H20+K20+L20+M20</f>
        <v>63.489017282845403</v>
      </c>
      <c r="P20" s="54">
        <f>(O20-N20)/N20</f>
        <v>6.2017092280416256E-2</v>
      </c>
      <c r="Q20" s="1"/>
      <c r="S20" s="7">
        <f>+INPUT!$D$4</f>
        <v>12.25</v>
      </c>
      <c r="T20" s="20">
        <f>$T$17*E20</f>
        <v>22.701540000000001</v>
      </c>
      <c r="U20" s="20">
        <f>$U$17*$A$20</f>
        <v>15.36</v>
      </c>
      <c r="V20" s="20">
        <f>$V$17*$A$20</f>
        <v>7.02</v>
      </c>
      <c r="W20" s="25">
        <f>S20+T20+U20+V20</f>
        <v>57.331540000000004</v>
      </c>
      <c r="X20" s="25"/>
      <c r="Y20" s="20"/>
      <c r="AB20" s="7">
        <f>INPUT!$D$26</f>
        <v>16.131875000000001</v>
      </c>
      <c r="AC20" s="20">
        <f>$AC$17*E20</f>
        <v>22.701540000000001</v>
      </c>
      <c r="AD20" s="20">
        <f>$A$20*$AD$17</f>
        <v>15.240306124419362</v>
      </c>
      <c r="AE20" s="20">
        <f>$A$20*$AE$17</f>
        <v>6.9652961584260362</v>
      </c>
      <c r="AF20" s="25">
        <f>SUM(AB20:AE20)</f>
        <v>61.0390172828454</v>
      </c>
      <c r="AG20" s="20"/>
      <c r="AH20" s="17"/>
      <c r="AI20" s="7">
        <f>AF20-W20</f>
        <v>3.7074772828453959</v>
      </c>
      <c r="AK20" s="18">
        <f>AF20/W20-1</f>
        <v>6.4667324178722563E-2</v>
      </c>
    </row>
    <row r="21" spans="1:37" x14ac:dyDescent="0.2">
      <c r="C21" s="13">
        <v>0.5</v>
      </c>
      <c r="E21" s="1">
        <f>C21*($A$20*730)</f>
        <v>730</v>
      </c>
      <c r="F21" s="1"/>
      <c r="G21" s="29">
        <f t="shared" ref="G21:G38" si="0">+W21</f>
        <v>72.465899999999991</v>
      </c>
      <c r="H21" s="29">
        <f>+AF21</f>
        <v>76.173377282845408</v>
      </c>
      <c r="I21" s="29">
        <f>+H21-G21</f>
        <v>3.7074772828454172</v>
      </c>
      <c r="J21" s="54">
        <f>ROUND(+I21/G21,4)</f>
        <v>5.1200000000000002E-2</v>
      </c>
      <c r="K21" s="89">
        <f>ROUND($T$10*$E21,2)</f>
        <v>-0.39</v>
      </c>
      <c r="L21" s="89">
        <f>ROUND($T$11*$E21,2)</f>
        <v>1.32</v>
      </c>
      <c r="M21" s="89">
        <f>ROUND($T$12*$E21,2)</f>
        <v>3.15</v>
      </c>
      <c r="N21" s="29">
        <f>+G21+K21+L21+M21</f>
        <v>76.545899999999989</v>
      </c>
      <c r="O21" s="29">
        <f>+H21+K21+L21+M21</f>
        <v>80.253377282845406</v>
      </c>
      <c r="P21" s="54">
        <f>(O21-N21)/N21</f>
        <v>4.8434694514603888E-2</v>
      </c>
      <c r="Q21" s="1"/>
      <c r="S21" s="7">
        <f>$S$20</f>
        <v>12.25</v>
      </c>
      <c r="T21" s="20">
        <f>$T$17*E21</f>
        <v>37.835900000000002</v>
      </c>
      <c r="U21" s="20">
        <f>$U$17*$A$20</f>
        <v>15.36</v>
      </c>
      <c r="V21" s="20">
        <f>$V$17*$A$20</f>
        <v>7.02</v>
      </c>
      <c r="W21" s="25">
        <f>S21+T21+U21+V21</f>
        <v>72.465899999999991</v>
      </c>
      <c r="X21" s="25"/>
      <c r="Y21" s="20"/>
      <c r="AB21" s="7">
        <f>$AB$20</f>
        <v>16.131875000000001</v>
      </c>
      <c r="AC21" s="20">
        <f>$AC$17*E21</f>
        <v>37.835900000000002</v>
      </c>
      <c r="AD21" s="20">
        <f>$A$20*$AD$17</f>
        <v>15.240306124419362</v>
      </c>
      <c r="AE21" s="20">
        <f>$A$20*$AE$17</f>
        <v>6.9652961584260362</v>
      </c>
      <c r="AF21" s="25">
        <f>SUM(AB21:AE21)</f>
        <v>76.173377282845408</v>
      </c>
      <c r="AG21" s="20"/>
      <c r="AH21" s="17"/>
      <c r="AI21" s="7">
        <f>AF21-W21</f>
        <v>3.7074772828454172</v>
      </c>
      <c r="AK21" s="18">
        <f>AF21/W21-1</f>
        <v>5.1161681326602038E-2</v>
      </c>
    </row>
    <row r="22" spans="1:37" x14ac:dyDescent="0.2">
      <c r="C22" s="13">
        <v>0.7</v>
      </c>
      <c r="E22" s="1">
        <f>C22*($A$20*730)</f>
        <v>1021.9999999999999</v>
      </c>
      <c r="F22" s="1"/>
      <c r="G22" s="29">
        <f t="shared" si="0"/>
        <v>87.600259999999992</v>
      </c>
      <c r="H22" s="29">
        <f>+AF22</f>
        <v>91.307737282845409</v>
      </c>
      <c r="I22" s="29">
        <f>+H22-G22</f>
        <v>3.7074772828454172</v>
      </c>
      <c r="J22" s="54">
        <f>ROUND(+I22/G22,4)</f>
        <v>4.2299999999999997E-2</v>
      </c>
      <c r="K22" s="89">
        <f>ROUND($T$10*$E22,2)</f>
        <v>-0.54</v>
      </c>
      <c r="L22" s="89">
        <f>ROUND($T$11*$E22,2)</f>
        <v>1.85</v>
      </c>
      <c r="M22" s="89">
        <f>ROUND($T$12*$E22,2)</f>
        <v>4.42</v>
      </c>
      <c r="N22" s="29">
        <f>+G22+K22+L22+M22</f>
        <v>93.330259999999981</v>
      </c>
      <c r="O22" s="29">
        <f>+H22+K22+L22+M22</f>
        <v>97.037737282845399</v>
      </c>
      <c r="P22" s="54">
        <f>(O22-N22)/N22</f>
        <v>3.9724278951386374E-2</v>
      </c>
      <c r="Q22" s="1"/>
      <c r="S22" s="7">
        <f>$S$20</f>
        <v>12.25</v>
      </c>
      <c r="T22" s="20">
        <f>$T$17*E22</f>
        <v>52.970259999999996</v>
      </c>
      <c r="U22" s="20">
        <f>$U$17*$A$20</f>
        <v>15.36</v>
      </c>
      <c r="V22" s="20">
        <f>$V$17*$A$20</f>
        <v>7.02</v>
      </c>
      <c r="W22" s="25">
        <f>S22+T22+U22+V22</f>
        <v>87.600259999999992</v>
      </c>
      <c r="X22" s="25"/>
      <c r="Y22" s="20"/>
      <c r="AB22" s="7">
        <f>$AB$20</f>
        <v>16.131875000000001</v>
      </c>
      <c r="AC22" s="20">
        <f>$AC$17*E22</f>
        <v>52.970259999999996</v>
      </c>
      <c r="AD22" s="20">
        <f>$A$20*$AD$17</f>
        <v>15.240306124419362</v>
      </c>
      <c r="AE22" s="20">
        <f>$A$20*$AE$17</f>
        <v>6.9652961584260362</v>
      </c>
      <c r="AF22" s="25">
        <f>SUM(AB22:AE22)</f>
        <v>91.307737282845409</v>
      </c>
      <c r="AG22" s="20"/>
      <c r="AH22" s="17"/>
      <c r="AI22" s="7">
        <f>AF22-W22</f>
        <v>3.7074772828454172</v>
      </c>
      <c r="AK22" s="18">
        <f>AF22/W22-1</f>
        <v>4.2322674417238249E-2</v>
      </c>
    </row>
    <row r="23" spans="1:37" x14ac:dyDescent="0.2">
      <c r="C23" s="13"/>
      <c r="E23" s="1"/>
      <c r="F23" s="1"/>
      <c r="G23" s="29"/>
      <c r="H23" s="29"/>
      <c r="J23" s="5"/>
      <c r="K23" s="1"/>
      <c r="L23" s="1"/>
      <c r="M23" s="1"/>
      <c r="P23" s="54"/>
      <c r="Q23" s="1"/>
      <c r="S23" s="7"/>
      <c r="T23" s="20"/>
      <c r="U23" s="20"/>
      <c r="V23" s="20"/>
      <c r="W23" s="25"/>
      <c r="X23" s="25"/>
      <c r="AB23" s="7"/>
      <c r="AC23" s="20"/>
      <c r="AD23" s="20"/>
      <c r="AE23" s="20"/>
      <c r="AF23" s="25"/>
      <c r="AH23" s="17"/>
      <c r="AI23" s="6"/>
      <c r="AK23" s="6"/>
    </row>
    <row r="24" spans="1:37" x14ac:dyDescent="0.2">
      <c r="A24" s="1">
        <v>5</v>
      </c>
      <c r="B24" s="1"/>
      <c r="C24" s="13">
        <v>0.3</v>
      </c>
      <c r="E24" s="1">
        <f>C24*($A$24*730)</f>
        <v>1095</v>
      </c>
      <c r="F24" s="1"/>
      <c r="G24" s="29">
        <f t="shared" si="0"/>
        <v>124.95385</v>
      </c>
      <c r="H24" s="29">
        <f>+AF24</f>
        <v>128.39973070711352</v>
      </c>
      <c r="I24" s="29">
        <f>+H24-G24</f>
        <v>3.4458807071135169</v>
      </c>
      <c r="J24" s="54">
        <f>ROUND(+I24/G24,4)</f>
        <v>2.76E-2</v>
      </c>
      <c r="K24" s="89">
        <f>ROUND($T$10*$E24,2)</f>
        <v>-0.57999999999999996</v>
      </c>
      <c r="L24" s="89">
        <f>ROUND($T$11*$E24,2)</f>
        <v>1.98</v>
      </c>
      <c r="M24" s="89">
        <f>ROUND($T$12*$E24,2)</f>
        <v>4.7300000000000004</v>
      </c>
      <c r="N24" s="29">
        <f>+G24+K24+L24+M24</f>
        <v>131.08385000000001</v>
      </c>
      <c r="O24" s="29">
        <f>+H24+K24+L24+M24</f>
        <v>134.52973070711352</v>
      </c>
      <c r="P24" s="54">
        <f>(O24-N24)/N24</f>
        <v>2.6287606803687125E-2</v>
      </c>
      <c r="Q24" s="1"/>
      <c r="S24" s="7">
        <f>$S$20</f>
        <v>12.25</v>
      </c>
      <c r="T24" s="20">
        <f>$T$17*E24</f>
        <v>56.75385</v>
      </c>
      <c r="U24" s="20">
        <f>$U$17*$A$24</f>
        <v>38.4</v>
      </c>
      <c r="V24" s="20">
        <f>$V$17*$A$24</f>
        <v>17.549999999999997</v>
      </c>
      <c r="W24" s="25">
        <f>S24+T24+U24+V24</f>
        <v>124.95385</v>
      </c>
      <c r="X24" s="25"/>
      <c r="Y24" s="20"/>
      <c r="AB24" s="7">
        <f>$AB$20</f>
        <v>16.131875000000001</v>
      </c>
      <c r="AC24" s="20">
        <f>$AC$17*E24</f>
        <v>56.75385</v>
      </c>
      <c r="AD24" s="20">
        <f>$A$24*$AD$17</f>
        <v>38.100765311048406</v>
      </c>
      <c r="AE24" s="20">
        <f>$A$24*$AE$17</f>
        <v>17.413240396065092</v>
      </c>
      <c r="AF24" s="25">
        <f>SUM(AB24:AE24)</f>
        <v>128.39973070711352</v>
      </c>
      <c r="AG24" s="20"/>
      <c r="AH24" s="17"/>
      <c r="AI24" s="7">
        <f>AF24-W24</f>
        <v>3.4458807071135169</v>
      </c>
      <c r="AJ24" s="10"/>
      <c r="AK24" s="18">
        <f>AF24/W24-1</f>
        <v>2.7577227169178986E-2</v>
      </c>
    </row>
    <row r="25" spans="1:37" x14ac:dyDescent="0.2">
      <c r="C25" s="13">
        <v>0.5</v>
      </c>
      <c r="E25" s="1">
        <f>C25*($A$24*730)</f>
        <v>1825</v>
      </c>
      <c r="F25" s="1"/>
      <c r="G25" s="29">
        <f t="shared" si="0"/>
        <v>162.78974999999997</v>
      </c>
      <c r="H25" s="29">
        <f>+AF25</f>
        <v>166.2356307071135</v>
      </c>
      <c r="I25" s="29">
        <f>+H25-G25</f>
        <v>3.4458807071135311</v>
      </c>
      <c r="J25" s="54">
        <f>ROUND(+I25/G25,4)</f>
        <v>2.12E-2</v>
      </c>
      <c r="K25" s="89">
        <f>ROUND($T$10*$E25,2)</f>
        <v>-0.97</v>
      </c>
      <c r="L25" s="89">
        <f>ROUND($T$11*$E25,2)</f>
        <v>3.3</v>
      </c>
      <c r="M25" s="89">
        <f>ROUND($T$12*$E25,2)</f>
        <v>7.89</v>
      </c>
      <c r="N25" s="29">
        <f>+G25+K25+L25+M25</f>
        <v>173.00974999999997</v>
      </c>
      <c r="O25" s="29">
        <f>+H25+K25+L25+M25</f>
        <v>176.4556307071135</v>
      </c>
      <c r="P25" s="54">
        <f>(O25-N25)/N25</f>
        <v>1.9917263085540159E-2</v>
      </c>
      <c r="Q25" s="1"/>
      <c r="S25" s="7">
        <f>$S$20</f>
        <v>12.25</v>
      </c>
      <c r="T25" s="20">
        <f>$T$17*E25</f>
        <v>94.589749999999995</v>
      </c>
      <c r="U25" s="20">
        <f>$U$17*$A$24</f>
        <v>38.4</v>
      </c>
      <c r="V25" s="20">
        <f>$V$17*$A$24</f>
        <v>17.549999999999997</v>
      </c>
      <c r="W25" s="25">
        <f>S25+T25+U25+V25</f>
        <v>162.78974999999997</v>
      </c>
      <c r="X25" s="25"/>
      <c r="Y25" s="20"/>
      <c r="AB25" s="7">
        <f>$AB$20</f>
        <v>16.131875000000001</v>
      </c>
      <c r="AC25" s="20">
        <f>$AC$17*E25</f>
        <v>94.589749999999995</v>
      </c>
      <c r="AD25" s="20">
        <f>$A$24*$AD$17</f>
        <v>38.100765311048406</v>
      </c>
      <c r="AE25" s="20">
        <f>$A$24*$AE$17</f>
        <v>17.413240396065092</v>
      </c>
      <c r="AF25" s="25">
        <f>SUM(AB25:AE25)</f>
        <v>166.2356307071135</v>
      </c>
      <c r="AG25" s="20"/>
      <c r="AH25" s="17"/>
      <c r="AI25" s="7">
        <f>AF25-W25</f>
        <v>3.4458807071135311</v>
      </c>
      <c r="AJ25" s="10"/>
      <c r="AK25" s="18">
        <f>AF25/W25-1</f>
        <v>2.116767614124071E-2</v>
      </c>
    </row>
    <row r="26" spans="1:37" x14ac:dyDescent="0.2">
      <c r="C26" s="13">
        <v>0.7</v>
      </c>
      <c r="E26" s="1">
        <f>C26*($A$24*730)</f>
        <v>2555</v>
      </c>
      <c r="F26" s="1"/>
      <c r="G26" s="29">
        <f t="shared" si="0"/>
        <v>200.62565000000001</v>
      </c>
      <c r="H26" s="29">
        <f>+AF26</f>
        <v>204.07153070711348</v>
      </c>
      <c r="I26" s="29">
        <f>+H26-G26</f>
        <v>3.4458807071134743</v>
      </c>
      <c r="J26" s="54">
        <f>ROUND(+I26/G26,4)</f>
        <v>1.72E-2</v>
      </c>
      <c r="K26" s="89">
        <f>ROUND($T$10*$E26,2)</f>
        <v>-1.35</v>
      </c>
      <c r="L26" s="89">
        <f>ROUND($T$11*$E26,2)</f>
        <v>4.63</v>
      </c>
      <c r="M26" s="89">
        <f>ROUND($T$12*$E26,2)</f>
        <v>11.04</v>
      </c>
      <c r="N26" s="29">
        <f>+G26+K26+L26+M26</f>
        <v>214.94565</v>
      </c>
      <c r="O26" s="29">
        <f>+H26+K26+L26+M26</f>
        <v>218.39153070711347</v>
      </c>
      <c r="P26" s="54">
        <f>(O26-N26)/N26</f>
        <v>1.6031404716092063E-2</v>
      </c>
      <c r="Q26" s="1"/>
      <c r="S26" s="7">
        <f>$S$20</f>
        <v>12.25</v>
      </c>
      <c r="T26" s="20">
        <f>$T$17*E26</f>
        <v>132.42564999999999</v>
      </c>
      <c r="U26" s="20">
        <f>$U$17*$A$24</f>
        <v>38.4</v>
      </c>
      <c r="V26" s="20">
        <f>$V$17*$A$24</f>
        <v>17.549999999999997</v>
      </c>
      <c r="W26" s="25">
        <f>S26+T26+U26+V26</f>
        <v>200.62565000000001</v>
      </c>
      <c r="X26" s="25"/>
      <c r="Y26" s="20"/>
      <c r="AB26" s="7">
        <f>$AB$20</f>
        <v>16.131875000000001</v>
      </c>
      <c r="AC26" s="20">
        <f>$AC$17*E26</f>
        <v>132.42564999999999</v>
      </c>
      <c r="AD26" s="20">
        <f>$A$24*$AD$17</f>
        <v>38.100765311048406</v>
      </c>
      <c r="AE26" s="20">
        <f>$A$24*$AE$17</f>
        <v>17.413240396065092</v>
      </c>
      <c r="AF26" s="25">
        <f>SUM(AB26:AE26)</f>
        <v>204.07153070711348</v>
      </c>
      <c r="AG26" s="20"/>
      <c r="AH26" s="17"/>
      <c r="AI26" s="7">
        <f>AF26-W26</f>
        <v>3.4458807071134743</v>
      </c>
      <c r="AK26" s="18">
        <f>AF26/W26-1</f>
        <v>1.7175673734208363E-2</v>
      </c>
    </row>
    <row r="27" spans="1:37" x14ac:dyDescent="0.2">
      <c r="C27" s="13"/>
      <c r="E27" s="1"/>
      <c r="F27" s="1"/>
      <c r="G27" s="29"/>
      <c r="H27" s="29"/>
      <c r="J27" s="5"/>
      <c r="K27" s="1"/>
      <c r="L27" s="1"/>
      <c r="M27" s="1"/>
      <c r="P27" s="54"/>
      <c r="Q27" s="1"/>
      <c r="S27" s="7"/>
      <c r="T27" s="20"/>
      <c r="U27" s="20"/>
      <c r="V27" s="20"/>
      <c r="W27" s="25"/>
      <c r="X27" s="25"/>
      <c r="AB27" s="7"/>
      <c r="AC27" s="20"/>
      <c r="AD27" s="20"/>
      <c r="AE27" s="20"/>
      <c r="AF27" s="25"/>
      <c r="AH27" s="17"/>
      <c r="AI27" s="6"/>
      <c r="AK27" s="6"/>
    </row>
    <row r="28" spans="1:37" x14ac:dyDescent="0.2">
      <c r="A28" s="1">
        <v>7</v>
      </c>
      <c r="B28" s="1"/>
      <c r="C28" s="13">
        <v>0.3</v>
      </c>
      <c r="E28" s="1">
        <f>C28*($A$28*730)</f>
        <v>1533</v>
      </c>
      <c r="F28" s="1"/>
      <c r="G28" s="29">
        <f t="shared" si="0"/>
        <v>170.03539000000001</v>
      </c>
      <c r="H28" s="29">
        <f>+AF28</f>
        <v>173.30687298995889</v>
      </c>
      <c r="I28" s="29">
        <f>+H28-G28</f>
        <v>3.2714829899588835</v>
      </c>
      <c r="J28" s="54">
        <f>ROUND(+I28/G28,4)</f>
        <v>1.9199999999999998E-2</v>
      </c>
      <c r="K28" s="89">
        <f>ROUND($T$10*$E28,2)</f>
        <v>-0.81</v>
      </c>
      <c r="L28" s="89">
        <f>ROUND($T$11*$E28,2)</f>
        <v>2.78</v>
      </c>
      <c r="M28" s="89">
        <f>ROUND($T$12*$E28,2)</f>
        <v>6.62</v>
      </c>
      <c r="N28" s="29">
        <f>+G28+K28+L28+M28</f>
        <v>178.62539000000001</v>
      </c>
      <c r="O28" s="29">
        <f>+H28+K28+L28+M28</f>
        <v>181.89687298995889</v>
      </c>
      <c r="P28" s="54">
        <f>(O28-N28)/N28</f>
        <v>1.8314770313217418E-2</v>
      </c>
      <c r="Q28" s="1"/>
      <c r="S28" s="7">
        <f>$S$20</f>
        <v>12.25</v>
      </c>
      <c r="T28" s="20">
        <f>$T$17*E28</f>
        <v>79.455390000000008</v>
      </c>
      <c r="U28" s="20">
        <f>$U$17*$A$28</f>
        <v>53.76</v>
      </c>
      <c r="V28" s="20">
        <f>$V$17*$A$28</f>
        <v>24.57</v>
      </c>
      <c r="W28" s="25">
        <f>S28+T28+U28+V28</f>
        <v>170.03539000000001</v>
      </c>
      <c r="X28" s="25"/>
      <c r="Y28" s="20"/>
      <c r="AB28" s="7">
        <f>$AB$20</f>
        <v>16.131875000000001</v>
      </c>
      <c r="AC28" s="20">
        <f>$AC$17*E28</f>
        <v>79.455390000000008</v>
      </c>
      <c r="AD28" s="20">
        <f>$A$28*$AD$17</f>
        <v>53.341071435467768</v>
      </c>
      <c r="AE28" s="20">
        <f>$A$28*$AE$17</f>
        <v>24.378536554491127</v>
      </c>
      <c r="AF28" s="25">
        <f>SUM(AB28:AE28)</f>
        <v>173.30687298995889</v>
      </c>
      <c r="AG28" s="20"/>
      <c r="AH28" s="17"/>
      <c r="AI28" s="7">
        <f>AF28-W28</f>
        <v>3.2714829899588835</v>
      </c>
      <c r="AK28" s="18">
        <f>AF28/W28-1</f>
        <v>1.9240012270145046E-2</v>
      </c>
    </row>
    <row r="29" spans="1:37" x14ac:dyDescent="0.2">
      <c r="C29" s="13">
        <v>0.5</v>
      </c>
      <c r="E29" s="1">
        <f>C29*($A$28*730)</f>
        <v>2555</v>
      </c>
      <c r="F29" s="1"/>
      <c r="G29" s="29">
        <f t="shared" si="0"/>
        <v>223.00564999999997</v>
      </c>
      <c r="H29" s="29">
        <f>+AF29</f>
        <v>226.27713298995889</v>
      </c>
      <c r="I29" s="29">
        <f>+H29-G29</f>
        <v>3.271482989958912</v>
      </c>
      <c r="J29" s="54">
        <f>ROUND(+I29/G29,4)</f>
        <v>1.47E-2</v>
      </c>
      <c r="K29" s="89">
        <f>ROUND($T$10*$E29,2)</f>
        <v>-1.35</v>
      </c>
      <c r="L29" s="89">
        <f>ROUND($T$11*$E29,2)</f>
        <v>4.63</v>
      </c>
      <c r="M29" s="89">
        <f>ROUND($T$12*$E29,2)</f>
        <v>11.04</v>
      </c>
      <c r="N29" s="29">
        <f>+G29+K29+L29+M29</f>
        <v>237.32564999999997</v>
      </c>
      <c r="O29" s="29">
        <f>+H29+K29+L29+M29</f>
        <v>240.59713298995888</v>
      </c>
      <c r="P29" s="54">
        <f>(O29-N29)/N29</f>
        <v>1.3784784703882249E-2</v>
      </c>
      <c r="Q29" s="1"/>
      <c r="S29" s="7">
        <f>$S$20</f>
        <v>12.25</v>
      </c>
      <c r="T29" s="20">
        <f>$T$17*E29</f>
        <v>132.42564999999999</v>
      </c>
      <c r="U29" s="20">
        <f>$U$17*$A$28</f>
        <v>53.76</v>
      </c>
      <c r="V29" s="20">
        <f>$V$17*$A$28</f>
        <v>24.57</v>
      </c>
      <c r="W29" s="25">
        <f>S29+T29+U29+V29</f>
        <v>223.00564999999997</v>
      </c>
      <c r="X29" s="25"/>
      <c r="Y29" s="20"/>
      <c r="AB29" s="7">
        <f>$AB$20</f>
        <v>16.131875000000001</v>
      </c>
      <c r="AC29" s="20">
        <f>$AC$17*E29</f>
        <v>132.42564999999999</v>
      </c>
      <c r="AD29" s="20">
        <f>$A$28*$AD$17</f>
        <v>53.341071435467768</v>
      </c>
      <c r="AE29" s="20">
        <f>$A$28*$AE$17</f>
        <v>24.378536554491127</v>
      </c>
      <c r="AF29" s="25">
        <f>SUM(AB29:AE29)</f>
        <v>226.27713298995889</v>
      </c>
      <c r="AG29" s="20"/>
      <c r="AH29" s="17"/>
      <c r="AI29" s="7">
        <f>AF29-W29</f>
        <v>3.271482989958912</v>
      </c>
      <c r="AK29" s="18">
        <f>AF29/W29-1</f>
        <v>1.4669955626500641E-2</v>
      </c>
    </row>
    <row r="30" spans="1:37" x14ac:dyDescent="0.2">
      <c r="C30" s="13">
        <v>0.7</v>
      </c>
      <c r="E30" s="1">
        <f>C30*($A$28*730)</f>
        <v>3577</v>
      </c>
      <c r="F30" s="1"/>
      <c r="G30" s="29">
        <f t="shared" si="0"/>
        <v>275.97591</v>
      </c>
      <c r="H30" s="29">
        <f>+AF30</f>
        <v>279.24739298995894</v>
      </c>
      <c r="I30" s="29">
        <f>+H30-G30</f>
        <v>3.2714829899589404</v>
      </c>
      <c r="J30" s="54">
        <f>ROUND(+I30/G30,4)</f>
        <v>1.1900000000000001E-2</v>
      </c>
      <c r="K30" s="89">
        <f>ROUND($T$10*$E30,2)</f>
        <v>-1.89</v>
      </c>
      <c r="L30" s="89">
        <f>ROUND($T$11*$E30,2)</f>
        <v>6.48</v>
      </c>
      <c r="M30" s="89">
        <f>ROUND($T$12*$E30,2)</f>
        <v>15.46</v>
      </c>
      <c r="N30" s="29">
        <f>+G30+K30+L30+M30</f>
        <v>296.02591000000001</v>
      </c>
      <c r="O30" s="29">
        <f>+H30+K30+L30+M30</f>
        <v>299.29739298995895</v>
      </c>
      <c r="P30" s="54">
        <f>(O30-N30)/N30</f>
        <v>1.1051340032900972E-2</v>
      </c>
      <c r="Q30" s="1"/>
      <c r="S30" s="7">
        <f>$S$20</f>
        <v>12.25</v>
      </c>
      <c r="T30" s="20">
        <f>$T$17*E30</f>
        <v>185.39591000000001</v>
      </c>
      <c r="U30" s="20">
        <f>$U$17*$A$28</f>
        <v>53.76</v>
      </c>
      <c r="V30" s="20">
        <f>$V$17*$A$28</f>
        <v>24.57</v>
      </c>
      <c r="W30" s="25">
        <f>S30+T30+U30+V30</f>
        <v>275.97591</v>
      </c>
      <c r="X30" s="25"/>
      <c r="Y30" s="20"/>
      <c r="AB30" s="7">
        <f>$AB$20</f>
        <v>16.131875000000001</v>
      </c>
      <c r="AC30" s="20">
        <f>$AC$17*E30</f>
        <v>185.39591000000001</v>
      </c>
      <c r="AD30" s="20">
        <f>$A$28*$AD$17</f>
        <v>53.341071435467768</v>
      </c>
      <c r="AE30" s="20">
        <f>$A$28*$AE$17</f>
        <v>24.378536554491127</v>
      </c>
      <c r="AF30" s="25">
        <f>SUM(AB30:AE30)</f>
        <v>279.24739298995894</v>
      </c>
      <c r="AG30" s="20"/>
      <c r="AH30" s="17"/>
      <c r="AI30" s="7">
        <f>AF30-W30</f>
        <v>3.2714829899589404</v>
      </c>
      <c r="AK30" s="18">
        <f>AF30/W30-1</f>
        <v>1.1854233907441225E-2</v>
      </c>
    </row>
    <row r="31" spans="1:37" x14ac:dyDescent="0.2">
      <c r="C31" s="13"/>
      <c r="E31" s="1"/>
      <c r="F31" s="1"/>
      <c r="G31" s="29"/>
      <c r="H31" s="29"/>
      <c r="J31" s="5"/>
      <c r="K31" s="1"/>
      <c r="L31" s="1"/>
      <c r="M31" s="1"/>
      <c r="P31" s="54"/>
      <c r="Q31" s="1"/>
      <c r="S31" s="7"/>
      <c r="T31" s="20"/>
      <c r="U31" s="20"/>
      <c r="V31" s="20"/>
      <c r="W31" s="25"/>
      <c r="X31" s="25"/>
      <c r="AB31" s="7"/>
      <c r="AC31" s="20"/>
      <c r="AD31" s="20"/>
      <c r="AE31" s="20"/>
      <c r="AF31" s="25"/>
      <c r="AH31" s="17"/>
      <c r="AI31" s="6"/>
      <c r="AK31" s="6"/>
    </row>
    <row r="32" spans="1:37" x14ac:dyDescent="0.2">
      <c r="A32" s="1">
        <v>10</v>
      </c>
      <c r="B32" s="1"/>
      <c r="C32" s="13">
        <v>0.3</v>
      </c>
      <c r="E32" s="1">
        <f>C32*($A$32*730)</f>
        <v>2190</v>
      </c>
      <c r="F32" s="1"/>
      <c r="G32" s="29">
        <f t="shared" si="0"/>
        <v>237.65770000000001</v>
      </c>
      <c r="H32" s="29">
        <f>+AF32</f>
        <v>240.667586414227</v>
      </c>
      <c r="I32" s="29">
        <f>+H32-G32</f>
        <v>3.0098864142269974</v>
      </c>
      <c r="J32" s="54">
        <f>ROUND(+I32/G32,4)</f>
        <v>1.2699999999999999E-2</v>
      </c>
      <c r="K32" s="89">
        <f>ROUND($T$10*$E32,2)</f>
        <v>-1.1599999999999999</v>
      </c>
      <c r="L32" s="89">
        <f>ROUND($T$11*$E32,2)</f>
        <v>3.97</v>
      </c>
      <c r="M32" s="89">
        <f>ROUND($T$12*$E32,2)</f>
        <v>9.4600000000000009</v>
      </c>
      <c r="N32" s="29">
        <f>+G32+K32+L32+M32</f>
        <v>249.92770000000002</v>
      </c>
      <c r="O32" s="29">
        <f>+H32+K32+L32+M32</f>
        <v>252.93758641422701</v>
      </c>
      <c r="P32" s="54">
        <f>(O32-N32)/N32</f>
        <v>1.2043028500750405E-2</v>
      </c>
      <c r="Q32" s="1"/>
      <c r="S32" s="7">
        <f>$S$20</f>
        <v>12.25</v>
      </c>
      <c r="T32" s="20">
        <f>$T$17*E32</f>
        <v>113.5077</v>
      </c>
      <c r="U32" s="20">
        <f>$U$17*$A$32</f>
        <v>76.8</v>
      </c>
      <c r="V32" s="20">
        <f>$V$17*$A$32</f>
        <v>35.099999999999994</v>
      </c>
      <c r="W32" s="25">
        <f>S32+T32+U32+V32</f>
        <v>237.65770000000001</v>
      </c>
      <c r="X32" s="25"/>
      <c r="Y32" s="20"/>
      <c r="AB32" s="7">
        <f>$AB$20</f>
        <v>16.131875000000001</v>
      </c>
      <c r="AC32" s="20">
        <f>$AC$17*E32</f>
        <v>113.5077</v>
      </c>
      <c r="AD32" s="20">
        <f>$A$32*$AD$17</f>
        <v>76.201530622096811</v>
      </c>
      <c r="AE32" s="20">
        <f>$A$32*$AE$17</f>
        <v>34.826480792130184</v>
      </c>
      <c r="AF32" s="25">
        <f>SUM(AB32:AE32)</f>
        <v>240.667586414227</v>
      </c>
      <c r="AG32" s="20"/>
      <c r="AH32" s="17"/>
      <c r="AI32" s="7">
        <f>AF32-W32</f>
        <v>3.0098864142269974</v>
      </c>
      <c r="AK32" s="18">
        <f>AF32/W32-1</f>
        <v>1.2664796529744171E-2</v>
      </c>
    </row>
    <row r="33" spans="1:37" x14ac:dyDescent="0.2">
      <c r="C33" s="13">
        <v>0.5</v>
      </c>
      <c r="E33" s="1">
        <f>C33*($A$32*730)</f>
        <v>3650</v>
      </c>
      <c r="F33" s="1"/>
      <c r="G33" s="29">
        <f t="shared" si="0"/>
        <v>313.32949999999994</v>
      </c>
      <c r="H33" s="29">
        <f>+AF33</f>
        <v>316.33938641422696</v>
      </c>
      <c r="I33" s="29">
        <f>+H33-G33</f>
        <v>3.0098864142270259</v>
      </c>
      <c r="J33" s="54">
        <f>ROUND(+I33/G33,4)</f>
        <v>9.5999999999999992E-3</v>
      </c>
      <c r="K33" s="89">
        <f>ROUND($T$10*$E33,2)</f>
        <v>-1.93</v>
      </c>
      <c r="L33" s="89">
        <f>ROUND($T$11*$E33,2)</f>
        <v>6.61</v>
      </c>
      <c r="M33" s="89">
        <f>ROUND($T$12*$E33,2)</f>
        <v>15.77</v>
      </c>
      <c r="N33" s="29">
        <f>+G33+K33+L33+M33</f>
        <v>333.77949999999993</v>
      </c>
      <c r="O33" s="29">
        <f>+H33+K33+L33+M33</f>
        <v>336.78938641422695</v>
      </c>
      <c r="P33" s="54">
        <f>(O33-N33)/N33</f>
        <v>9.0175891995374988E-3</v>
      </c>
      <c r="Q33" s="1"/>
      <c r="S33" s="7">
        <f>$S$20</f>
        <v>12.25</v>
      </c>
      <c r="T33" s="20">
        <f>$T$17*E33</f>
        <v>189.17949999999999</v>
      </c>
      <c r="U33" s="20">
        <f>$U$17*$A$32</f>
        <v>76.8</v>
      </c>
      <c r="V33" s="20">
        <f>$V$17*$A$32</f>
        <v>35.099999999999994</v>
      </c>
      <c r="W33" s="25">
        <f>S33+T33+U33+V33</f>
        <v>313.32949999999994</v>
      </c>
      <c r="X33" s="25"/>
      <c r="Y33" s="20"/>
      <c r="AB33" s="7">
        <f>$AB$20</f>
        <v>16.131875000000001</v>
      </c>
      <c r="AC33" s="20">
        <f>$AC$17*E33</f>
        <v>189.17949999999999</v>
      </c>
      <c r="AD33" s="20">
        <f>$A$32*$AD$17</f>
        <v>76.201530622096811</v>
      </c>
      <c r="AE33" s="20">
        <f>$A$32*$AE$17</f>
        <v>34.826480792130184</v>
      </c>
      <c r="AF33" s="25">
        <f>SUM(AB33:AE33)</f>
        <v>316.33938641422696</v>
      </c>
      <c r="AG33" s="20"/>
      <c r="AH33" s="17"/>
      <c r="AI33" s="7">
        <f>AF33-W33</f>
        <v>3.0098864142270259</v>
      </c>
      <c r="AK33" s="18">
        <f>AF33/W33-1</f>
        <v>9.6061379928382706E-3</v>
      </c>
    </row>
    <row r="34" spans="1:37" x14ac:dyDescent="0.2">
      <c r="C34" s="13">
        <v>0.7</v>
      </c>
      <c r="E34" s="1">
        <f>C34*($A$32*730)</f>
        <v>5110</v>
      </c>
      <c r="F34" s="1"/>
      <c r="G34" s="29">
        <f t="shared" si="0"/>
        <v>389.00130000000001</v>
      </c>
      <c r="H34" s="29">
        <f>+AF34</f>
        <v>392.01118641422693</v>
      </c>
      <c r="I34" s="29">
        <f>+H34-G34</f>
        <v>3.0098864142269122</v>
      </c>
      <c r="J34" s="54">
        <f>ROUND(+I34/G34,4)</f>
        <v>7.7000000000000002E-3</v>
      </c>
      <c r="K34" s="89">
        <f>ROUND($T$10*$E34,2)</f>
        <v>-2.71</v>
      </c>
      <c r="L34" s="89">
        <f>ROUND($T$11*$E34,2)</f>
        <v>9.25</v>
      </c>
      <c r="M34" s="89">
        <f>ROUND($T$12*$E34,2)</f>
        <v>22.08</v>
      </c>
      <c r="N34" s="29">
        <f>+G34+K34+L34+M34</f>
        <v>417.62130000000002</v>
      </c>
      <c r="O34" s="29">
        <f>+H34+K34+L34+M34</f>
        <v>420.63118641422693</v>
      </c>
      <c r="P34" s="54">
        <f>(O34-N34)/N34</f>
        <v>7.2072148001716199E-3</v>
      </c>
      <c r="Q34" s="1"/>
      <c r="S34" s="7">
        <f>$S$20</f>
        <v>12.25</v>
      </c>
      <c r="T34" s="20">
        <f>$T$17*E34</f>
        <v>264.85129999999998</v>
      </c>
      <c r="U34" s="20">
        <f>$U$17*$A$32</f>
        <v>76.8</v>
      </c>
      <c r="V34" s="20">
        <f>$V$17*$A$32</f>
        <v>35.099999999999994</v>
      </c>
      <c r="W34" s="25">
        <f>S34+T34+U34+V34</f>
        <v>389.00130000000001</v>
      </c>
      <c r="X34" s="25"/>
      <c r="Y34" s="20"/>
      <c r="AB34" s="7">
        <f>$AB$20</f>
        <v>16.131875000000001</v>
      </c>
      <c r="AC34" s="20">
        <f>$AC$17*E34</f>
        <v>264.85129999999998</v>
      </c>
      <c r="AD34" s="20">
        <f>$A$32*$AD$17</f>
        <v>76.201530622096811</v>
      </c>
      <c r="AE34" s="20">
        <f>$A$32*$AE$17</f>
        <v>34.826480792130184</v>
      </c>
      <c r="AF34" s="25">
        <f>SUM(AB34:AE34)</f>
        <v>392.01118641422693</v>
      </c>
      <c r="AG34" s="20"/>
      <c r="AH34" s="17"/>
      <c r="AI34" s="7">
        <f>AF34-W34</f>
        <v>3.0098864142269122</v>
      </c>
      <c r="AK34" s="18">
        <f>AF34/W34-1</f>
        <v>7.7374713509361648E-3</v>
      </c>
    </row>
    <row r="35" spans="1:37" x14ac:dyDescent="0.2">
      <c r="C35" s="13"/>
      <c r="E35" s="1"/>
      <c r="F35" s="1"/>
      <c r="G35" s="29"/>
      <c r="H35" s="29"/>
      <c r="J35" s="5"/>
      <c r="K35" s="1"/>
      <c r="L35" s="1"/>
      <c r="M35" s="1"/>
      <c r="P35" s="54"/>
      <c r="Q35" s="1"/>
      <c r="S35" s="7"/>
      <c r="T35" s="20"/>
      <c r="U35" s="20"/>
      <c r="V35" s="20"/>
      <c r="W35" s="25"/>
      <c r="X35" s="25"/>
      <c r="AB35" s="7"/>
      <c r="AC35" s="20"/>
      <c r="AD35" s="20"/>
      <c r="AE35" s="20"/>
      <c r="AF35" s="25"/>
      <c r="AH35" s="17"/>
      <c r="AI35" s="6"/>
      <c r="AK35" s="6"/>
    </row>
    <row r="36" spans="1:37" x14ac:dyDescent="0.2">
      <c r="A36" s="1">
        <v>15</v>
      </c>
      <c r="B36" s="1"/>
      <c r="C36" s="13">
        <v>0.3</v>
      </c>
      <c r="E36" s="1">
        <f>C36*($A$36*730)</f>
        <v>3285</v>
      </c>
      <c r="F36" s="1"/>
      <c r="G36" s="29">
        <f t="shared" si="0"/>
        <v>350.36154999999997</v>
      </c>
      <c r="H36" s="29">
        <f>+AF36</f>
        <v>352.93544212134054</v>
      </c>
      <c r="I36" s="29">
        <f>+H36-G36</f>
        <v>2.5738921213405774</v>
      </c>
      <c r="J36" s="54">
        <f>ROUND(+I36/G36,4)</f>
        <v>7.3000000000000001E-3</v>
      </c>
      <c r="K36" s="89">
        <f>ROUND($T$10*$E36,2)</f>
        <v>-1.74</v>
      </c>
      <c r="L36" s="89">
        <f>ROUND($T$11*$E36,2)</f>
        <v>5.95</v>
      </c>
      <c r="M36" s="89">
        <f>ROUND($T$12*$E36,2)</f>
        <v>14.19</v>
      </c>
      <c r="N36" s="29">
        <f>+G36+K36+L36+M36</f>
        <v>368.76154999999994</v>
      </c>
      <c r="O36" s="29">
        <f>+H36+K36+L36+M36</f>
        <v>371.33544212134052</v>
      </c>
      <c r="P36" s="54">
        <f>(O36-N36)/N36</f>
        <v>6.9798278083508915E-3</v>
      </c>
      <c r="Q36" s="1"/>
      <c r="S36" s="7">
        <f>$S$20</f>
        <v>12.25</v>
      </c>
      <c r="T36" s="20">
        <f>$T$17*E36</f>
        <v>170.26155</v>
      </c>
      <c r="U36" s="20">
        <f>$U$17*$A$36</f>
        <v>115.19999999999999</v>
      </c>
      <c r="V36" s="20">
        <f>$V$17*$A$36</f>
        <v>52.65</v>
      </c>
      <c r="W36" s="25">
        <f>S36+T36+U36+V36</f>
        <v>350.36154999999997</v>
      </c>
      <c r="X36" s="25"/>
      <c r="Y36" s="20"/>
      <c r="AB36" s="7">
        <f>$AB$20</f>
        <v>16.131875000000001</v>
      </c>
      <c r="AC36" s="20">
        <f>$AC$17*E36</f>
        <v>170.26155</v>
      </c>
      <c r="AD36" s="20">
        <f>$A$36*$AD$17</f>
        <v>114.30229593314522</v>
      </c>
      <c r="AE36" s="20">
        <f>$A$36*$AE$17</f>
        <v>52.239721188195269</v>
      </c>
      <c r="AF36" s="25">
        <f>SUM(AB36:AE36)</f>
        <v>352.93544212134054</v>
      </c>
      <c r="AG36" s="20"/>
      <c r="AH36" s="17"/>
      <c r="AI36" s="7">
        <f>AF36-W36</f>
        <v>2.5738921213405774</v>
      </c>
      <c r="AK36" s="18">
        <f>AF36/W36-1</f>
        <v>7.3463886700484426E-3</v>
      </c>
    </row>
    <row r="37" spans="1:37" x14ac:dyDescent="0.2">
      <c r="C37" s="13">
        <v>0.5</v>
      </c>
      <c r="E37" s="1">
        <f>C37*($A$36*730)</f>
        <v>5475</v>
      </c>
      <c r="F37" s="1"/>
      <c r="G37" s="29">
        <f t="shared" si="0"/>
        <v>463.86924999999997</v>
      </c>
      <c r="H37" s="29">
        <f>+AF37</f>
        <v>466.44314212134049</v>
      </c>
      <c r="I37" s="29">
        <f>+H37-G37</f>
        <v>2.5738921213405206</v>
      </c>
      <c r="J37" s="54">
        <f>ROUND(+I37/G37,4)</f>
        <v>5.4999999999999997E-3</v>
      </c>
      <c r="K37" s="89">
        <f>ROUND($T$10*$E37,2)</f>
        <v>-2.9</v>
      </c>
      <c r="L37" s="89">
        <f>ROUND($T$11*$E37,2)</f>
        <v>9.91</v>
      </c>
      <c r="M37" s="89">
        <f>ROUND($T$12*$E37,2)</f>
        <v>23.66</v>
      </c>
      <c r="N37" s="29">
        <f>+G37+K37+L37+M37</f>
        <v>494.53925000000004</v>
      </c>
      <c r="O37" s="29">
        <f>+H37+K37+L37+M37</f>
        <v>497.11314212134056</v>
      </c>
      <c r="P37" s="54">
        <f>(O37-N37)/N37</f>
        <v>5.2046265717847883E-3</v>
      </c>
      <c r="Q37" s="1"/>
      <c r="S37" s="7">
        <f>$S$20</f>
        <v>12.25</v>
      </c>
      <c r="T37" s="20">
        <f>$T$17*E37</f>
        <v>283.76925</v>
      </c>
      <c r="U37" s="20">
        <f>$U$17*$A$36</f>
        <v>115.19999999999999</v>
      </c>
      <c r="V37" s="20">
        <f>$V$17*$A$36</f>
        <v>52.65</v>
      </c>
      <c r="W37" s="25">
        <f>S37+T37+U37+V37</f>
        <v>463.86924999999997</v>
      </c>
      <c r="X37" s="25"/>
      <c r="Y37" s="20"/>
      <c r="AB37" s="7">
        <f>$AB$20</f>
        <v>16.131875000000001</v>
      </c>
      <c r="AC37" s="20">
        <f>$AC$17*E37</f>
        <v>283.76925</v>
      </c>
      <c r="AD37" s="20">
        <f>$A$36*$AD$17</f>
        <v>114.30229593314522</v>
      </c>
      <c r="AE37" s="20">
        <f>$A$36*$AE$17</f>
        <v>52.239721188195269</v>
      </c>
      <c r="AF37" s="25">
        <f>SUM(AB37:AE37)</f>
        <v>466.44314212134049</v>
      </c>
      <c r="AG37" s="20"/>
      <c r="AH37" s="17"/>
      <c r="AI37" s="7">
        <f>AF37-W37</f>
        <v>2.5738921213405206</v>
      </c>
      <c r="AK37" s="18">
        <f>AF37/W37-1</f>
        <v>5.5487448701125874E-3</v>
      </c>
    </row>
    <row r="38" spans="1:37" x14ac:dyDescent="0.2">
      <c r="C38" s="13">
        <v>0.7</v>
      </c>
      <c r="E38" s="1">
        <f>C38*($A$36*730)</f>
        <v>7664.9999999999991</v>
      </c>
      <c r="F38" s="1"/>
      <c r="G38" s="29">
        <f t="shared" si="0"/>
        <v>577.37694999999997</v>
      </c>
      <c r="H38" s="29">
        <f>+AF38</f>
        <v>579.95084212134043</v>
      </c>
      <c r="I38" s="29">
        <f>+H38-G38</f>
        <v>2.5738921213404637</v>
      </c>
      <c r="J38" s="54">
        <f>ROUND(+I38/G38,4)</f>
        <v>4.4999999999999997E-3</v>
      </c>
      <c r="K38" s="89">
        <f>ROUND($T$10*$E38,2)</f>
        <v>-4.0599999999999996</v>
      </c>
      <c r="L38" s="89">
        <f>ROUND($T$11*$E38,2)</f>
        <v>13.88</v>
      </c>
      <c r="M38" s="89">
        <f>ROUND($T$12*$E38,2)</f>
        <v>33.119999999999997</v>
      </c>
      <c r="N38" s="29">
        <f>+G38+K38+L38+M38</f>
        <v>620.31695000000002</v>
      </c>
      <c r="O38" s="29">
        <f>+H38+K38+L38+M38</f>
        <v>622.89084212134048</v>
      </c>
      <c r="P38" s="54">
        <f>(O38-N38)/N38</f>
        <v>4.1493177340075323E-3</v>
      </c>
      <c r="Q38" s="1"/>
      <c r="S38" s="7">
        <f>$S$20</f>
        <v>12.25</v>
      </c>
      <c r="T38" s="20">
        <f>$T$17*E38</f>
        <v>397.27694999999994</v>
      </c>
      <c r="U38" s="20">
        <f>$U$17*$A$36</f>
        <v>115.19999999999999</v>
      </c>
      <c r="V38" s="20">
        <f>$V$17*$A$36</f>
        <v>52.65</v>
      </c>
      <c r="W38" s="25">
        <f>S38+T38+U38+V38</f>
        <v>577.37694999999997</v>
      </c>
      <c r="X38" s="25"/>
      <c r="Y38" s="20"/>
      <c r="AB38" s="7">
        <f>$AB$20</f>
        <v>16.131875000000001</v>
      </c>
      <c r="AC38" s="20">
        <f>$AC$17*E38</f>
        <v>397.27694999999994</v>
      </c>
      <c r="AD38" s="20">
        <f>$A$36*$AD$17</f>
        <v>114.30229593314522</v>
      </c>
      <c r="AE38" s="20">
        <f>$A$36*$AE$17</f>
        <v>52.239721188195269</v>
      </c>
      <c r="AF38" s="25">
        <f>SUM(AB38:AE38)</f>
        <v>579.95084212134043</v>
      </c>
      <c r="AG38" s="20"/>
      <c r="AH38" s="17"/>
      <c r="AI38" s="7">
        <f>AF38-W38</f>
        <v>2.5738921213404637</v>
      </c>
      <c r="AK38" s="18">
        <f>AF38/W38-1</f>
        <v>4.4579059163003532E-3</v>
      </c>
    </row>
    <row r="39" spans="1:37" x14ac:dyDescent="0.2">
      <c r="T39" s="20"/>
      <c r="U39" s="20"/>
      <c r="V39" s="20"/>
      <c r="W39" s="20"/>
      <c r="X39" s="20"/>
    </row>
    <row r="40" spans="1:37" x14ac:dyDescent="0.2">
      <c r="A40" s="17" t="s">
        <v>314</v>
      </c>
      <c r="T40" s="20"/>
      <c r="U40" s="20"/>
      <c r="V40" s="20"/>
      <c r="W40" s="20"/>
      <c r="X40" s="20"/>
    </row>
    <row r="41" spans="1:37" x14ac:dyDescent="0.2">
      <c r="A41" s="170" t="str">
        <f>("Average usage = "&amp;ROUND(INPUT!D20,0)&amp;" kWh per month")</f>
        <v>Average usage = 177 kWh per month</v>
      </c>
      <c r="G41" s="46"/>
      <c r="T41" s="20"/>
      <c r="U41" s="20"/>
      <c r="V41" s="20"/>
      <c r="W41" s="20"/>
      <c r="X41" s="20"/>
    </row>
    <row r="42" spans="1:37" x14ac:dyDescent="0.2">
      <c r="A42" s="172" t="s">
        <v>315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D42" s="31"/>
      <c r="AE42" s="20"/>
      <c r="AF42" s="20"/>
      <c r="AG42" s="20"/>
      <c r="AH42" s="20"/>
      <c r="AI42" s="6"/>
    </row>
    <row r="43" spans="1:37" x14ac:dyDescent="0.2">
      <c r="A43" s="171" t="str">
        <f>+'Rate Case Constants'!C26</f>
        <v>Calculations may vary from other schedules due to rounding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D43" s="9"/>
    </row>
    <row r="44" spans="1:37" x14ac:dyDescent="0.2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Z44" s="3"/>
      <c r="AA44" s="2"/>
      <c r="AB44" s="3"/>
      <c r="AD44" s="3"/>
    </row>
    <row r="45" spans="1:37" x14ac:dyDescent="0.2">
      <c r="AD45" s="9"/>
    </row>
    <row r="46" spans="1:37" x14ac:dyDescent="0.2">
      <c r="S46" s="3"/>
      <c r="V46" s="3"/>
      <c r="Z46" s="3"/>
      <c r="AD46" s="9"/>
    </row>
    <row r="47" spans="1:37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Z47" s="3"/>
      <c r="AA47" s="2"/>
      <c r="AB47" s="3"/>
      <c r="AD47" s="3"/>
    </row>
    <row r="48" spans="1:37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Z48" s="3"/>
      <c r="AA48" s="2"/>
      <c r="AB48" s="3"/>
      <c r="AD48" s="3"/>
    </row>
    <row r="49" spans="5:30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</row>
    <row r="50" spans="5:30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V50" s="12"/>
      <c r="W50" s="12"/>
      <c r="X50" s="12"/>
      <c r="Z50" s="6"/>
      <c r="AB50" s="6"/>
      <c r="AD50" s="9"/>
    </row>
    <row r="51" spans="5:30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V51" s="12"/>
      <c r="W51" s="12"/>
      <c r="X51" s="12"/>
      <c r="Z51" s="6"/>
      <c r="AB51" s="6"/>
      <c r="AD51" s="9"/>
    </row>
    <row r="52" spans="5:30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V52" s="12"/>
      <c r="W52" s="12"/>
      <c r="X52" s="12"/>
      <c r="Z52" s="6"/>
      <c r="AB52" s="6"/>
      <c r="AD52" s="9"/>
    </row>
    <row r="53" spans="5:30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V53" s="12"/>
      <c r="W53" s="12"/>
      <c r="X53" s="12"/>
      <c r="Z53" s="6"/>
      <c r="AA53" s="10"/>
      <c r="AB53" s="6"/>
      <c r="AC53" s="10"/>
      <c r="AD53" s="9"/>
    </row>
    <row r="54" spans="5:30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V54" s="12"/>
      <c r="W54" s="12"/>
      <c r="X54" s="12"/>
      <c r="Z54" s="6"/>
      <c r="AA54" s="10"/>
      <c r="AB54" s="6"/>
      <c r="AC54" s="10"/>
      <c r="AD54" s="9"/>
    </row>
    <row r="55" spans="5:30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V55" s="12"/>
      <c r="W55" s="12"/>
      <c r="X55" s="12"/>
      <c r="Z55" s="6"/>
      <c r="AB55" s="6"/>
      <c r="AD55" s="9"/>
    </row>
    <row r="56" spans="5:30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V56" s="12"/>
      <c r="W56" s="12"/>
      <c r="X56" s="12"/>
      <c r="Z56" s="6"/>
      <c r="AB56" s="6"/>
      <c r="AD56" s="9"/>
    </row>
    <row r="57" spans="5:30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V57" s="12"/>
      <c r="W57" s="12"/>
      <c r="X57" s="12"/>
      <c r="Z57" s="6"/>
      <c r="AB57" s="6"/>
      <c r="AD57" s="9"/>
    </row>
    <row r="58" spans="5:30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V58" s="12"/>
      <c r="W58" s="12"/>
      <c r="X58" s="12"/>
      <c r="Z58" s="6"/>
      <c r="AB58" s="6"/>
      <c r="AD58" s="9"/>
    </row>
    <row r="59" spans="5:30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V59" s="12"/>
      <c r="W59" s="12"/>
      <c r="X59" s="12"/>
      <c r="Z59" s="6"/>
      <c r="AB59" s="6"/>
      <c r="AD59" s="9"/>
    </row>
    <row r="60" spans="5:30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V60" s="12"/>
      <c r="W60" s="12"/>
      <c r="X60" s="12"/>
      <c r="Z60" s="6"/>
      <c r="AB60" s="6"/>
      <c r="AD60" s="9"/>
    </row>
    <row r="61" spans="5:30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V61" s="12"/>
      <c r="W61" s="12"/>
      <c r="X61" s="12"/>
      <c r="Z61" s="6"/>
      <c r="AB61" s="6"/>
      <c r="AD61" s="9"/>
    </row>
    <row r="62" spans="5:30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V62" s="12"/>
      <c r="W62" s="12"/>
      <c r="X62" s="12"/>
      <c r="Z62" s="6"/>
      <c r="AB62" s="6"/>
      <c r="AD62" s="9"/>
    </row>
    <row r="63" spans="5:30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V63" s="12"/>
      <c r="W63" s="12"/>
      <c r="X63" s="12"/>
      <c r="Z63" s="6"/>
      <c r="AB63" s="6"/>
      <c r="AD63" s="9"/>
    </row>
    <row r="64" spans="5:30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V64" s="12"/>
      <c r="W64" s="12"/>
      <c r="X64" s="12"/>
      <c r="Z64" s="6"/>
      <c r="AB64" s="6"/>
      <c r="AD64" s="9"/>
    </row>
    <row r="65" spans="5:33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</row>
    <row r="66" spans="5:33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</row>
    <row r="67" spans="5:33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D67" s="9"/>
    </row>
    <row r="68" spans="5:33" x14ac:dyDescent="0.2">
      <c r="AF68" s="4"/>
      <c r="AG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F42"/>
  <sheetViews>
    <sheetView view="pageBreakPreview" zoomScale="90" zoomScaleNormal="80" zoomScaleSheetLayoutView="9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4" width="11.140625" bestFit="1" customWidth="1"/>
    <col min="5" max="6" width="9.5703125" bestFit="1" customWidth="1"/>
    <col min="7" max="7" width="9.85546875" bestFit="1" customWidth="1"/>
    <col min="8" max="8" width="8.42578125" bestFit="1" customWidth="1"/>
    <col min="9" max="9" width="9.5703125" bestFit="1" customWidth="1"/>
    <col min="10" max="11" width="11.1406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3" width="9.5703125" customWidth="1"/>
    <col min="27" max="28" width="3" customWidth="1"/>
    <col min="30" max="30" width="2.7109375" customWidth="1"/>
  </cols>
  <sheetData>
    <row r="1" spans="1:32" x14ac:dyDescent="0.2">
      <c r="A1" s="431" t="str">
        <f>+'Rate Case Constants'!C9</f>
        <v>LOUISVILLE GAS AND ELECTRIC COMPANY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32" x14ac:dyDescent="0.2">
      <c r="A2" s="431" t="str">
        <f>+'Rate Case Constants'!C10</f>
        <v>CASE NO. 2018-00295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32" x14ac:dyDescent="0.2">
      <c r="A3" s="433" t="str">
        <f>+'Rate Case Constants'!C24</f>
        <v>Typical Bill Comparison under Present &amp; Proposed Rates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32" x14ac:dyDescent="0.2">
      <c r="A4" s="431" t="str">
        <f>+'Rate Case Constants'!C21</f>
        <v>FORECAST PERIOD FOR THE 12 MONTHS ENDED APRIL 30, 2020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32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32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32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50" t="str">
        <f>+'Rate Case Constants'!C25</f>
        <v>SCHEDULE N</v>
      </c>
    </row>
    <row r="8" spans="1:32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 t="str">
        <f>+'Rate Case Constants'!L11</f>
        <v>PAGE 4 of 26</v>
      </c>
    </row>
    <row r="9" spans="1:32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1" t="str">
        <f>+'Rate Case Constants'!C36</f>
        <v>WITNESS:   R. M. CONROY</v>
      </c>
      <c r="Q9" s="30" t="s">
        <v>333</v>
      </c>
    </row>
    <row r="10" spans="1:32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Q10" s="83" t="s">
        <v>70</v>
      </c>
      <c r="R10">
        <f>+INPUT!J56</f>
        <v>-5.5691216171167043E-4</v>
      </c>
    </row>
    <row r="11" spans="1:32" x14ac:dyDescent="0.2">
      <c r="A11" s="260" t="s">
        <v>76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83" t="s">
        <v>72</v>
      </c>
      <c r="R11" s="30">
        <f>+INPUT!K56</f>
        <v>1.4205811359585907E-4</v>
      </c>
      <c r="S11" s="30"/>
      <c r="T11" s="30"/>
      <c r="U11" s="30"/>
      <c r="V11" s="33"/>
      <c r="W11" s="30"/>
      <c r="X11" s="30"/>
      <c r="Y11" s="30"/>
      <c r="Z11" s="30"/>
    </row>
    <row r="12" spans="1:32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83" t="s">
        <v>71</v>
      </c>
      <c r="R12" s="30">
        <f>+INPUT!L56</f>
        <v>1.0366481059999117E-2</v>
      </c>
      <c r="S12" s="30"/>
      <c r="T12" s="30"/>
      <c r="U12" s="30"/>
      <c r="V12" s="30"/>
      <c r="W12" s="30"/>
      <c r="X12" s="30"/>
      <c r="Y12" s="30"/>
      <c r="Z12" s="30"/>
    </row>
    <row r="13" spans="1:32" x14ac:dyDescent="0.2">
      <c r="A13" s="30"/>
      <c r="B13" s="30"/>
      <c r="C13" s="164" t="s">
        <v>304</v>
      </c>
      <c r="D13" s="165" t="s">
        <v>305</v>
      </c>
      <c r="E13" s="165" t="s">
        <v>306</v>
      </c>
      <c r="F13" s="164" t="s">
        <v>307</v>
      </c>
      <c r="G13" s="164" t="s">
        <v>308</v>
      </c>
      <c r="H13" s="164" t="s">
        <v>309</v>
      </c>
      <c r="I13" s="165" t="s">
        <v>310</v>
      </c>
      <c r="J13" s="164" t="s">
        <v>311</v>
      </c>
      <c r="K13" s="164" t="s">
        <v>312</v>
      </c>
      <c r="L13" s="164" t="s">
        <v>313</v>
      </c>
      <c r="M13" s="30"/>
      <c r="N13" s="30"/>
      <c r="O13" s="30"/>
      <c r="P13" s="30"/>
      <c r="Q13" s="30"/>
      <c r="R13" s="30"/>
      <c r="S13" s="30"/>
      <c r="U13" s="30"/>
      <c r="V13" s="30"/>
      <c r="W13" s="30"/>
      <c r="X13" s="30"/>
      <c r="Y13" s="30"/>
      <c r="Z13" s="30"/>
    </row>
    <row r="14" spans="1:32" x14ac:dyDescent="0.2">
      <c r="C14" s="231" t="s">
        <v>339</v>
      </c>
      <c r="D14" s="231" t="s">
        <v>339</v>
      </c>
      <c r="E14" s="168"/>
      <c r="F14" s="168"/>
      <c r="G14" s="168"/>
      <c r="H14" s="168"/>
      <c r="I14" s="168"/>
      <c r="J14" s="164" t="s">
        <v>5</v>
      </c>
      <c r="K14" s="164" t="s">
        <v>5</v>
      </c>
      <c r="L14" s="168"/>
      <c r="Q14" s="49" t="s">
        <v>60</v>
      </c>
      <c r="R14" s="49"/>
      <c r="S14" s="49"/>
      <c r="T14" s="3" t="s">
        <v>71</v>
      </c>
      <c r="V14" s="49" t="s">
        <v>61</v>
      </c>
      <c r="W14" s="49"/>
      <c r="X14" s="49"/>
      <c r="Y14" s="3" t="s">
        <v>71</v>
      </c>
      <c r="Z14" s="56"/>
    </row>
    <row r="15" spans="1:32" x14ac:dyDescent="0.2">
      <c r="C15" s="164" t="s">
        <v>1</v>
      </c>
      <c r="D15" s="164" t="s">
        <v>73</v>
      </c>
      <c r="E15" s="164"/>
      <c r="F15" s="164"/>
      <c r="G15" s="424" t="s">
        <v>126</v>
      </c>
      <c r="H15" s="424"/>
      <c r="I15" s="425"/>
      <c r="J15" s="164" t="s">
        <v>1</v>
      </c>
      <c r="K15" s="164" t="s">
        <v>73</v>
      </c>
      <c r="L15" s="164"/>
      <c r="Q15" s="26" t="s">
        <v>63</v>
      </c>
      <c r="R15" s="3"/>
      <c r="S15" s="26"/>
      <c r="T15" s="3" t="s">
        <v>1</v>
      </c>
      <c r="V15" s="26" t="s">
        <v>63</v>
      </c>
      <c r="W15" s="3"/>
      <c r="X15" s="26"/>
      <c r="Y15" s="3" t="s">
        <v>1</v>
      </c>
      <c r="Z15" s="26"/>
    </row>
    <row r="16" spans="1:32" x14ac:dyDescent="0.2">
      <c r="A16" s="3"/>
      <c r="B16" s="3"/>
      <c r="C16" s="164" t="s">
        <v>4</v>
      </c>
      <c r="D16" s="164" t="s">
        <v>4</v>
      </c>
      <c r="E16" s="164" t="s">
        <v>74</v>
      </c>
      <c r="F16" s="164" t="s">
        <v>74</v>
      </c>
      <c r="G16" s="164" t="s">
        <v>376</v>
      </c>
      <c r="H16" s="164" t="s">
        <v>72</v>
      </c>
      <c r="I16" s="164" t="s">
        <v>71</v>
      </c>
      <c r="J16" s="164" t="s">
        <v>4</v>
      </c>
      <c r="K16" s="164" t="s">
        <v>4</v>
      </c>
      <c r="L16" s="164" t="s">
        <v>74</v>
      </c>
      <c r="M16" s="3"/>
      <c r="N16" s="3"/>
      <c r="O16" s="3"/>
      <c r="P16" s="3"/>
      <c r="Q16" s="26" t="s">
        <v>62</v>
      </c>
      <c r="R16" s="3" t="s">
        <v>57</v>
      </c>
      <c r="S16" s="26" t="s">
        <v>5</v>
      </c>
      <c r="T16" s="3" t="s">
        <v>75</v>
      </c>
      <c r="V16" s="26" t="s">
        <v>62</v>
      </c>
      <c r="W16" s="3" t="s">
        <v>57</v>
      </c>
      <c r="X16" s="26" t="s">
        <v>5</v>
      </c>
      <c r="Y16" s="3" t="s">
        <v>75</v>
      </c>
      <c r="Z16" s="26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3" t="s">
        <v>50</v>
      </c>
      <c r="B17" s="3"/>
      <c r="C17" s="164"/>
      <c r="D17" s="164"/>
      <c r="E17" s="164" t="s">
        <v>68</v>
      </c>
      <c r="F17" s="165" t="s">
        <v>69</v>
      </c>
      <c r="G17" s="166"/>
      <c r="H17" s="166"/>
      <c r="I17" s="167"/>
      <c r="J17" s="164" t="s">
        <v>68</v>
      </c>
      <c r="K17" s="164" t="s">
        <v>68</v>
      </c>
      <c r="L17" s="165" t="s">
        <v>69</v>
      </c>
      <c r="M17" s="3"/>
      <c r="N17" s="3"/>
      <c r="O17" s="3"/>
      <c r="P17" s="3"/>
      <c r="Q17" s="35" t="s">
        <v>3</v>
      </c>
      <c r="R17" s="15" t="s">
        <v>3</v>
      </c>
      <c r="S17" s="35" t="s">
        <v>4</v>
      </c>
      <c r="T17" s="15" t="s">
        <v>3</v>
      </c>
      <c r="V17" s="35" t="s">
        <v>3</v>
      </c>
      <c r="W17" s="15" t="s">
        <v>3</v>
      </c>
      <c r="X17" s="35" t="s">
        <v>4</v>
      </c>
      <c r="Y17" s="15" t="s">
        <v>3</v>
      </c>
      <c r="Z17" s="57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80"/>
      <c r="B18" s="80"/>
      <c r="C18" s="234"/>
      <c r="D18" s="234"/>
      <c r="E18" s="234" t="str">
        <f>("[ "&amp;D13&amp;" - "&amp;C13&amp;" ]")</f>
        <v>[ B - A ]</v>
      </c>
      <c r="F18" s="234" t="str">
        <f>("[ "&amp;E13&amp;" / "&amp;C13&amp;" ]")</f>
        <v>[ C / A ]</v>
      </c>
      <c r="G18" s="262"/>
      <c r="H18" s="262"/>
      <c r="I18" s="262"/>
      <c r="J18" s="234" t="str">
        <f>("["&amp;C13&amp;"+"&amp;$G$13&amp;"+"&amp;$H$13&amp;"+"&amp;$I$13&amp;"]")</f>
        <v>[A+E+F+G]</v>
      </c>
      <c r="K18" s="234" t="str">
        <f>("["&amp;D13&amp;"+"&amp;$G$13&amp;"+"&amp;$H$13&amp;"+"&amp;$I$13&amp;"]")</f>
        <v>[B+E+F+G]</v>
      </c>
      <c r="L18" s="234" t="str">
        <f>("[("&amp;K13&amp;" - "&amp;J13&amp;")/"&amp;J13&amp;"]")</f>
        <v>[(I - H)/H]</v>
      </c>
      <c r="M18" s="3"/>
      <c r="N18" s="3"/>
      <c r="O18" s="3"/>
      <c r="P18" s="164"/>
      <c r="Q18" s="26"/>
      <c r="R18" s="32">
        <f>+INPUT!$E$6</f>
        <v>0.10297000000000001</v>
      </c>
      <c r="S18" s="26"/>
      <c r="T18" s="42"/>
      <c r="V18" s="26"/>
      <c r="W18" s="32">
        <f>INPUT!$E$28</f>
        <v>0.10636999999999999</v>
      </c>
      <c r="X18" s="26"/>
      <c r="Y18" s="42"/>
      <c r="Z18" s="26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164"/>
      <c r="F19" s="164"/>
      <c r="G19" s="3"/>
      <c r="H19" s="3"/>
      <c r="I19" s="3"/>
      <c r="J19" s="164"/>
      <c r="K19" s="3"/>
      <c r="L19" s="164"/>
      <c r="M19" s="3"/>
      <c r="N19" s="3"/>
      <c r="O19" s="3"/>
      <c r="P19" s="3"/>
      <c r="Q19" s="26"/>
      <c r="R19" s="3" t="s">
        <v>14</v>
      </c>
      <c r="S19" s="26"/>
      <c r="T19" s="3"/>
      <c r="V19" s="26"/>
      <c r="W19" s="3" t="s">
        <v>14</v>
      </c>
      <c r="X19" s="26"/>
      <c r="Y19" s="3"/>
      <c r="Z19" s="26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86"/>
      <c r="H20" s="86"/>
      <c r="I20" s="86"/>
      <c r="J20" s="86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>
        <v>500</v>
      </c>
      <c r="C21" s="89">
        <f>+S21</f>
        <v>82.984999999999999</v>
      </c>
      <c r="D21" s="89">
        <f>+X21</f>
        <v>84.84</v>
      </c>
      <c r="E21" s="29">
        <f>+D21-C21</f>
        <v>1.855000000000004</v>
      </c>
      <c r="F21" s="54">
        <f>ROUND(+E21/C21,4)</f>
        <v>2.24E-2</v>
      </c>
      <c r="G21" s="89">
        <f>ROUND($R$10*$A21,2)</f>
        <v>-0.28000000000000003</v>
      </c>
      <c r="H21" s="89">
        <f>ROUND($R$11*$A21,2)</f>
        <v>7.0000000000000007E-2</v>
      </c>
      <c r="I21" s="89">
        <f>ROUND($R$12*$A21,2)</f>
        <v>5.18</v>
      </c>
      <c r="J21" s="89">
        <f>+C21+G21+H21+I21</f>
        <v>87.954999999999984</v>
      </c>
      <c r="K21" s="29">
        <f>+D21+G21+H21+I21</f>
        <v>89.81</v>
      </c>
      <c r="L21" s="54">
        <f>ROUND((K21-J21)/J21,4)</f>
        <v>2.1100000000000001E-2</v>
      </c>
      <c r="Q21" s="7">
        <f>+INPUT!$E$4</f>
        <v>31.5</v>
      </c>
      <c r="R21" s="6">
        <f>A21*$R$18</f>
        <v>51.484999999999999</v>
      </c>
      <c r="S21" s="6">
        <f>Q21+R21</f>
        <v>82.984999999999999</v>
      </c>
      <c r="T21" s="6"/>
      <c r="V21" s="7">
        <f>INPUT!$E$26</f>
        <v>31.655000000000001</v>
      </c>
      <c r="W21" s="6">
        <f>+$A21*W$18</f>
        <v>53.184999999999995</v>
      </c>
      <c r="X21" s="6">
        <f>V21+W21</f>
        <v>84.84</v>
      </c>
      <c r="Y21" s="6"/>
      <c r="Z21" s="6"/>
      <c r="AC21" s="6">
        <f>X21-S21</f>
        <v>1.855000000000004</v>
      </c>
      <c r="AE21" s="8">
        <f>X21/S21-1</f>
        <v>2.2353437368199058E-2</v>
      </c>
      <c r="AF21" s="8"/>
    </row>
    <row r="22" spans="1:32" x14ac:dyDescent="0.2">
      <c r="C22" s="17"/>
      <c r="D22" s="17"/>
      <c r="G22" s="17"/>
      <c r="H22" s="17"/>
      <c r="I22" s="17"/>
      <c r="J22" s="17"/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1000</v>
      </c>
      <c r="C23" s="89">
        <f>+S23</f>
        <v>134.47</v>
      </c>
      <c r="D23" s="89">
        <f>+X23</f>
        <v>138.02499999999998</v>
      </c>
      <c r="E23" s="29">
        <f>+D23-C23</f>
        <v>3.5549999999999784</v>
      </c>
      <c r="F23" s="54">
        <f>ROUND(+E23/C23,4)</f>
        <v>2.64E-2</v>
      </c>
      <c r="G23" s="89">
        <f>ROUND($R$10*$A23,2)</f>
        <v>-0.56000000000000005</v>
      </c>
      <c r="H23" s="89">
        <f>ROUND($R$11*$A23,2)</f>
        <v>0.14000000000000001</v>
      </c>
      <c r="I23" s="89">
        <f>ROUND($R$12*$A23,2)</f>
        <v>10.37</v>
      </c>
      <c r="J23" s="89">
        <f>+C23+G23+H23+I23</f>
        <v>144.41999999999999</v>
      </c>
      <c r="K23" s="29">
        <f>+D23+G23+H23+I23</f>
        <v>147.97499999999997</v>
      </c>
      <c r="L23" s="54">
        <f>ROUND((K23-J23)/J23,4)</f>
        <v>2.46E-2</v>
      </c>
      <c r="Q23" s="7">
        <f>$Q$21</f>
        <v>31.5</v>
      </c>
      <c r="R23" s="6">
        <f>A23*$R$18</f>
        <v>102.97</v>
      </c>
      <c r="S23" s="6">
        <f>Q23+R23</f>
        <v>134.47</v>
      </c>
      <c r="T23" s="6"/>
      <c r="V23" s="7">
        <f>+$V$21</f>
        <v>31.655000000000001</v>
      </c>
      <c r="W23" s="6">
        <f>+$A23*W$18</f>
        <v>106.36999999999999</v>
      </c>
      <c r="X23" s="6">
        <f>V23+W23</f>
        <v>138.02499999999998</v>
      </c>
      <c r="Y23" s="6"/>
      <c r="Z23" s="6"/>
      <c r="AC23" s="6">
        <f>X23-S23</f>
        <v>3.5549999999999784</v>
      </c>
      <c r="AE23" s="8">
        <f>X23/S23-1</f>
        <v>2.6437123521974915E-2</v>
      </c>
      <c r="AF23" s="8"/>
    </row>
    <row r="24" spans="1:32" x14ac:dyDescent="0.2">
      <c r="C24" s="89"/>
      <c r="D24" s="89"/>
      <c r="E24" s="29"/>
      <c r="F24" s="54"/>
      <c r="G24" s="89"/>
      <c r="H24" s="89"/>
      <c r="I24" s="89"/>
      <c r="J24" s="89"/>
      <c r="K24" s="29"/>
      <c r="L24" s="54"/>
      <c r="Q24" s="55"/>
      <c r="R24" s="6"/>
      <c r="S24" s="6"/>
      <c r="T24" s="6"/>
      <c r="V24" s="7"/>
      <c r="W24" s="6"/>
      <c r="X24" s="6"/>
      <c r="Y24" s="6"/>
      <c r="Z24" s="6"/>
      <c r="AE24" s="27"/>
      <c r="AF24" s="27"/>
    </row>
    <row r="25" spans="1:32" s="10" customFormat="1" x14ac:dyDescent="0.2">
      <c r="A25" s="14">
        <v>1500</v>
      </c>
      <c r="B25"/>
      <c r="C25" s="89">
        <f>+S25</f>
        <v>185.95500000000001</v>
      </c>
      <c r="D25" s="89">
        <f>+X25</f>
        <v>191.20999999999998</v>
      </c>
      <c r="E25" s="29">
        <f>+D25-C25</f>
        <v>5.254999999999967</v>
      </c>
      <c r="F25" s="54">
        <f>ROUND(+E25/C25,4)</f>
        <v>2.8299999999999999E-2</v>
      </c>
      <c r="G25" s="89">
        <f>ROUND($R$10*$A25,2)</f>
        <v>-0.84</v>
      </c>
      <c r="H25" s="89">
        <f>ROUND($R$11*$A25,2)</f>
        <v>0.21</v>
      </c>
      <c r="I25" s="89">
        <f>ROUND($R$12*$A25,2)</f>
        <v>15.55</v>
      </c>
      <c r="J25" s="89">
        <f>+C25+G25+H25+I25</f>
        <v>200.87500000000003</v>
      </c>
      <c r="K25" s="29">
        <f>+D25+G25+H25+I25</f>
        <v>206.13</v>
      </c>
      <c r="L25" s="54">
        <f>ROUND((K25-J25)/J25,4)</f>
        <v>2.6200000000000001E-2</v>
      </c>
      <c r="Q25" s="55">
        <f>$Q$21</f>
        <v>31.5</v>
      </c>
      <c r="R25" s="6">
        <f>A25*$R$18</f>
        <v>154.45500000000001</v>
      </c>
      <c r="S25" s="11">
        <f>Q25+R25</f>
        <v>185.95500000000001</v>
      </c>
      <c r="T25" s="6"/>
      <c r="V25" s="7">
        <f>+$V$21</f>
        <v>31.655000000000001</v>
      </c>
      <c r="W25" s="6">
        <f>+$A25*W$18</f>
        <v>159.55499999999998</v>
      </c>
      <c r="X25" s="11">
        <f>V25+W25</f>
        <v>191.20999999999998</v>
      </c>
      <c r="Y25" s="6"/>
      <c r="Z25" s="11"/>
      <c r="AC25" s="11">
        <f>X25-S25</f>
        <v>5.254999999999967</v>
      </c>
      <c r="AE25" s="27">
        <f>X25/S25-1</f>
        <v>2.8259525153934817E-2</v>
      </c>
      <c r="AF25" s="27"/>
    </row>
    <row r="26" spans="1:32" x14ac:dyDescent="0.2">
      <c r="C26" s="17"/>
      <c r="D26" s="17"/>
      <c r="G26" s="17"/>
      <c r="H26" s="17"/>
      <c r="I26" s="17"/>
      <c r="J26" s="17"/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">
        <v>2000</v>
      </c>
      <c r="C27" s="89">
        <f>+S27</f>
        <v>237.44</v>
      </c>
      <c r="D27" s="89">
        <f>+X27</f>
        <v>244.39499999999998</v>
      </c>
      <c r="E27" s="29">
        <f>+D27-C27</f>
        <v>6.9549999999999841</v>
      </c>
      <c r="F27" s="54">
        <f>ROUND(+E27/C27,4)</f>
        <v>2.93E-2</v>
      </c>
      <c r="G27" s="89">
        <f>ROUND($R$10*$A27,2)</f>
        <v>-1.1100000000000001</v>
      </c>
      <c r="H27" s="89">
        <f>ROUND($R$11*$A27,2)</f>
        <v>0.28000000000000003</v>
      </c>
      <c r="I27" s="89">
        <f>ROUND($R$12*$A27,2)</f>
        <v>20.73</v>
      </c>
      <c r="J27" s="89">
        <f>+C27+G27+H27+I27</f>
        <v>257.33999999999997</v>
      </c>
      <c r="K27" s="29">
        <f>+D27+G27+H27+I27</f>
        <v>264.29499999999996</v>
      </c>
      <c r="L27" s="54">
        <f>ROUND((K27-J27)/J27,4)</f>
        <v>2.7E-2</v>
      </c>
      <c r="Q27" s="7">
        <f>$Q$21</f>
        <v>31.5</v>
      </c>
      <c r="R27" s="6">
        <f>A27*$R$18</f>
        <v>205.94</v>
      </c>
      <c r="S27" s="6">
        <f>Q27+R27</f>
        <v>237.44</v>
      </c>
      <c r="T27" s="6"/>
      <c r="V27" s="7">
        <f>+$V$21</f>
        <v>31.655000000000001</v>
      </c>
      <c r="W27" s="6">
        <f>+$A27*W$18</f>
        <v>212.73999999999998</v>
      </c>
      <c r="X27" s="6">
        <f>V27+W27</f>
        <v>244.39499999999998</v>
      </c>
      <c r="Y27" s="6"/>
      <c r="Z27" s="6"/>
      <c r="AC27" s="6">
        <f>X27-S27</f>
        <v>6.9549999999999841</v>
      </c>
      <c r="AE27" s="8">
        <f>X27/S27-1</f>
        <v>2.9291610512129251E-2</v>
      </c>
      <c r="AF27" s="8"/>
    </row>
    <row r="28" spans="1:32" x14ac:dyDescent="0.2">
      <c r="C28" s="17"/>
      <c r="D28" s="17"/>
      <c r="G28" s="17"/>
      <c r="H28" s="17"/>
      <c r="I28" s="17"/>
      <c r="J28" s="17"/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2500</v>
      </c>
      <c r="C29" s="89">
        <f>+S29</f>
        <v>288.92500000000001</v>
      </c>
      <c r="D29" s="89">
        <f>+X29</f>
        <v>297.57999999999993</v>
      </c>
      <c r="E29" s="29">
        <f>+D29-C29</f>
        <v>8.6549999999999159</v>
      </c>
      <c r="F29" s="54">
        <f>ROUND(+E29/C29,4)</f>
        <v>0.03</v>
      </c>
      <c r="G29" s="89">
        <f>ROUND($R$10*$A29,2)</f>
        <v>-1.39</v>
      </c>
      <c r="H29" s="89">
        <f>ROUND($R$11*$A29,2)</f>
        <v>0.36</v>
      </c>
      <c r="I29" s="89">
        <f>ROUND($R$12*$A29,2)</f>
        <v>25.92</v>
      </c>
      <c r="J29" s="89">
        <f>+C29+G29+H29+I29</f>
        <v>313.81500000000005</v>
      </c>
      <c r="K29" s="29">
        <f>+D29+G29+H29+I29</f>
        <v>322.46999999999997</v>
      </c>
      <c r="L29" s="54">
        <f>ROUND((K29-J29)/J29,4)</f>
        <v>2.76E-2</v>
      </c>
      <c r="Q29" s="7">
        <f>$Q$21</f>
        <v>31.5</v>
      </c>
      <c r="R29" s="6">
        <f>A29*$R$18</f>
        <v>257.42500000000001</v>
      </c>
      <c r="S29" s="6">
        <f>Q29+R29</f>
        <v>288.92500000000001</v>
      </c>
      <c r="T29" s="6"/>
      <c r="V29" s="7">
        <f>+$V$21</f>
        <v>31.655000000000001</v>
      </c>
      <c r="W29" s="6">
        <f>+$A29*W$18</f>
        <v>265.92499999999995</v>
      </c>
      <c r="X29" s="6">
        <f>V29+W29</f>
        <v>297.57999999999993</v>
      </c>
      <c r="Y29" s="6"/>
      <c r="Z29" s="6"/>
      <c r="AC29" s="6">
        <f>X29-S29</f>
        <v>8.6549999999999159</v>
      </c>
      <c r="AE29" s="8">
        <f>X29/S29-1</f>
        <v>2.9955870900752579E-2</v>
      </c>
      <c r="AF29" s="8"/>
    </row>
    <row r="30" spans="1:32" x14ac:dyDescent="0.2">
      <c r="A30" s="1"/>
      <c r="C30" s="17"/>
      <c r="D30" s="17"/>
      <c r="G30" s="17"/>
      <c r="H30" s="17"/>
      <c r="I30" s="17"/>
      <c r="J30" s="17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5000</v>
      </c>
      <c r="C31" s="89">
        <f>+S31</f>
        <v>546.35</v>
      </c>
      <c r="D31" s="89">
        <f>+X31</f>
        <v>563.50499999999988</v>
      </c>
      <c r="E31" s="29">
        <f>+D31-C31</f>
        <v>17.154999999999859</v>
      </c>
      <c r="F31" s="54">
        <f>ROUND(+E31/C31,4)</f>
        <v>3.1399999999999997E-2</v>
      </c>
      <c r="G31" s="89">
        <f>ROUND($R$10*$A31,2)</f>
        <v>-2.78</v>
      </c>
      <c r="H31" s="89">
        <f>ROUND($R$11*$A31,2)</f>
        <v>0.71</v>
      </c>
      <c r="I31" s="89">
        <f>ROUND($R$12*$A31,2)</f>
        <v>51.83</v>
      </c>
      <c r="J31" s="89">
        <f>+C31+G31+H31+I31</f>
        <v>596.11000000000013</v>
      </c>
      <c r="K31" s="29">
        <f>+D31+G31+H31+I31</f>
        <v>613.26499999999999</v>
      </c>
      <c r="L31" s="54">
        <f>ROUND((K31-J31)/J31,4)</f>
        <v>2.8799999999999999E-2</v>
      </c>
      <c r="Q31" s="7">
        <f>$Q$21</f>
        <v>31.5</v>
      </c>
      <c r="R31" s="6">
        <f>A31*$R$18</f>
        <v>514.85</v>
      </c>
      <c r="S31" s="6">
        <f>Q31+R31</f>
        <v>546.35</v>
      </c>
      <c r="T31" s="6"/>
      <c r="V31" s="7">
        <f>+$V$21</f>
        <v>31.655000000000001</v>
      </c>
      <c r="W31" s="6">
        <f>+$A31*W$18</f>
        <v>531.84999999999991</v>
      </c>
      <c r="X31" s="6">
        <f>V31+W31</f>
        <v>563.50499999999988</v>
      </c>
      <c r="Y31" s="6"/>
      <c r="Z31" s="6"/>
      <c r="AC31" s="6">
        <f>X31-S31</f>
        <v>17.154999999999859</v>
      </c>
      <c r="AE31" s="8">
        <f>X31/S31-1</f>
        <v>3.1399286171867491E-2</v>
      </c>
      <c r="AF31" s="8"/>
    </row>
    <row r="32" spans="1:32" x14ac:dyDescent="0.2">
      <c r="C32" s="17"/>
      <c r="D32" s="17"/>
      <c r="G32" s="17"/>
      <c r="H32" s="17"/>
      <c r="I32" s="17"/>
      <c r="J32" s="17"/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7500</v>
      </c>
      <c r="C33" s="89">
        <f>+S33</f>
        <v>803.77500000000009</v>
      </c>
      <c r="D33" s="89">
        <f>+X33</f>
        <v>829.43</v>
      </c>
      <c r="E33" s="29">
        <f>+D33-C33</f>
        <v>25.654999999999859</v>
      </c>
      <c r="F33" s="54">
        <f>ROUND(+E33/C33,4)</f>
        <v>3.1899999999999998E-2</v>
      </c>
      <c r="G33" s="89">
        <f>ROUND($R$10*$A33,2)</f>
        <v>-4.18</v>
      </c>
      <c r="H33" s="89">
        <f>ROUND($R$11*$A33,2)</f>
        <v>1.07</v>
      </c>
      <c r="I33" s="89">
        <f>ROUND($R$12*$A33,2)</f>
        <v>77.75</v>
      </c>
      <c r="J33" s="89">
        <f>+C33+G33+H33+I33</f>
        <v>878.41500000000019</v>
      </c>
      <c r="K33" s="29">
        <f>+D33+G33+H33+I33</f>
        <v>904.07</v>
      </c>
      <c r="L33" s="54">
        <f>ROUND((K33-J33)/J33,4)</f>
        <v>2.92E-2</v>
      </c>
      <c r="Q33" s="7">
        <f>$Q$21</f>
        <v>31.5</v>
      </c>
      <c r="R33" s="6">
        <f>A33*$R$18</f>
        <v>772.27500000000009</v>
      </c>
      <c r="S33" s="6">
        <f>Q33+R33</f>
        <v>803.77500000000009</v>
      </c>
      <c r="T33" s="6"/>
      <c r="V33" s="7">
        <f>+$V$21</f>
        <v>31.655000000000001</v>
      </c>
      <c r="W33" s="6">
        <f>+$A33*W$18</f>
        <v>797.77499999999998</v>
      </c>
      <c r="X33" s="6">
        <f>V33+W33</f>
        <v>829.43</v>
      </c>
      <c r="Y33" s="6"/>
      <c r="Z33" s="6"/>
      <c r="AC33" s="6">
        <f>X33-S33</f>
        <v>25.654999999999859</v>
      </c>
      <c r="AE33" s="8">
        <f>X33/S33-1</f>
        <v>3.1918136294360799E-2</v>
      </c>
      <c r="AF33" s="8"/>
    </row>
    <row r="34" spans="1:32" x14ac:dyDescent="0.2">
      <c r="C34" s="17"/>
      <c r="D34" s="17"/>
      <c r="G34" s="17"/>
      <c r="H34" s="17"/>
      <c r="I34" s="17"/>
      <c r="J34" s="17"/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10000</v>
      </c>
      <c r="C35" s="89">
        <f>+S35</f>
        <v>1061.2</v>
      </c>
      <c r="D35" s="89">
        <f>+X35</f>
        <v>1095.3549999999998</v>
      </c>
      <c r="E35" s="29">
        <f>+D35-C35</f>
        <v>34.154999999999745</v>
      </c>
      <c r="F35" s="54">
        <f>ROUND(+E35/C35,4)</f>
        <v>3.2199999999999999E-2</v>
      </c>
      <c r="G35" s="89">
        <f>ROUND($R$10*$A35,2)</f>
        <v>-5.57</v>
      </c>
      <c r="H35" s="89">
        <f>ROUND($R$11*$A35,2)</f>
        <v>1.42</v>
      </c>
      <c r="I35" s="89">
        <f>ROUND($R$12*$A35,2)</f>
        <v>103.66</v>
      </c>
      <c r="J35" s="89">
        <f>+C35+G35+H35+I35</f>
        <v>1160.7100000000003</v>
      </c>
      <c r="K35" s="29">
        <f>+D35+G35+H35+I35</f>
        <v>1194.865</v>
      </c>
      <c r="L35" s="54">
        <f>ROUND((K35-J35)/J35,4)</f>
        <v>2.9399999999999999E-2</v>
      </c>
      <c r="Q35" s="7">
        <f>$Q$21</f>
        <v>31.5</v>
      </c>
      <c r="R35" s="6">
        <f>A35*$R$18</f>
        <v>1029.7</v>
      </c>
      <c r="S35" s="6">
        <f>Q35+R35</f>
        <v>1061.2</v>
      </c>
      <c r="T35" s="6"/>
      <c r="V35" s="7">
        <f>+$V$21</f>
        <v>31.655000000000001</v>
      </c>
      <c r="W35" s="6">
        <f>+$A35*W$18</f>
        <v>1063.6999999999998</v>
      </c>
      <c r="X35" s="6">
        <f>V35+W35</f>
        <v>1095.3549999999998</v>
      </c>
      <c r="Y35" s="6"/>
      <c r="Z35" s="6"/>
      <c r="AE35" s="8"/>
      <c r="AF35" s="8"/>
    </row>
    <row r="36" spans="1:32" x14ac:dyDescent="0.2">
      <c r="C36" s="17"/>
      <c r="D36" s="17"/>
      <c r="G36" s="17"/>
      <c r="H36" s="17"/>
      <c r="I36" s="17"/>
      <c r="J36" s="17"/>
      <c r="Q36" s="7"/>
      <c r="R36" s="6"/>
      <c r="S36" s="6"/>
      <c r="T36" s="6"/>
      <c r="V36" s="7"/>
      <c r="W36" s="6"/>
      <c r="X36" s="6"/>
      <c r="Y36" s="6"/>
      <c r="Z36" s="6"/>
      <c r="AE36" s="8"/>
      <c r="AF36" s="8"/>
    </row>
    <row r="37" spans="1:32" x14ac:dyDescent="0.2">
      <c r="Q37" s="7"/>
    </row>
    <row r="38" spans="1:32" x14ac:dyDescent="0.2">
      <c r="A38" s="17" t="s">
        <v>314</v>
      </c>
    </row>
    <row r="39" spans="1:32" x14ac:dyDescent="0.2">
      <c r="A39" s="170" t="str">
        <f>("Average usage = "&amp;TEXT(INPUT!E20*1,"0,000")&amp;" kWh per month")</f>
        <v>Average usage = 1,064 kWh per month</v>
      </c>
    </row>
    <row r="40" spans="1:32" x14ac:dyDescent="0.2">
      <c r="A40" s="172" t="s">
        <v>315</v>
      </c>
    </row>
    <row r="41" spans="1:32" x14ac:dyDescent="0.2">
      <c r="A41" s="172" t="str">
        <f>+'Rate Case Constants'!C26</f>
        <v>Calculations may vary from other schedules due to rounding</v>
      </c>
    </row>
    <row r="42" spans="1:32" ht="12" customHeight="1" x14ac:dyDescent="0.2"/>
  </sheetData>
  <mergeCells count="5">
    <mergeCell ref="G15:I15"/>
    <mergeCell ref="A1:L1"/>
    <mergeCell ref="A2:L2"/>
    <mergeCell ref="A3:L3"/>
    <mergeCell ref="A4:L4"/>
  </mergeCells>
  <printOptions horizontalCentered="1"/>
  <pageMargins left="0.75" right="0.75" top="1.5" bottom="0.5" header="1" footer="0.5"/>
  <pageSetup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F42"/>
  <sheetViews>
    <sheetView view="pageBreakPreview" zoomScale="90" zoomScaleNormal="80" zoomScaleSheetLayoutView="9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3" width="11.140625" bestFit="1" customWidth="1"/>
    <col min="4" max="4" width="11.7109375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1.1406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3" width="9.5703125" customWidth="1"/>
    <col min="27" max="28" width="3" customWidth="1"/>
    <col min="30" max="30" width="2.7109375" customWidth="1"/>
  </cols>
  <sheetData>
    <row r="1" spans="1:32" x14ac:dyDescent="0.2">
      <c r="A1" s="431" t="str">
        <f>+'Rate Case Constants'!C9</f>
        <v>LOUISVILLE GAS AND ELECTRIC COMPANY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32" x14ac:dyDescent="0.2">
      <c r="A2" s="431" t="str">
        <f>+'Rate Case Constants'!C10</f>
        <v>CASE NO. 2018-00295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32" x14ac:dyDescent="0.2">
      <c r="A3" s="433" t="str">
        <f>+'Rate Case Constants'!C24</f>
        <v>Typical Bill Comparison under Present &amp; Proposed Rates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32" x14ac:dyDescent="0.2">
      <c r="A4" s="431" t="str">
        <f>+'Rate Case Constants'!C21</f>
        <v>FORECAST PERIOD FOR THE 12 MONTHS ENDED APRIL 30, 2020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32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32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32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50" t="str">
        <f>+'Rate Case Constants'!C25</f>
        <v>SCHEDULE N</v>
      </c>
    </row>
    <row r="8" spans="1:32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 t="str">
        <f>+'Rate Case Constants'!L12</f>
        <v>PAGE 5 of 26</v>
      </c>
    </row>
    <row r="9" spans="1:32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1" t="str">
        <f>+'Rate Case Constants'!C36</f>
        <v>WITNESS:   R. M. CONROY</v>
      </c>
      <c r="Q9" s="30" t="s">
        <v>333</v>
      </c>
    </row>
    <row r="10" spans="1:32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Q10" s="83" t="s">
        <v>70</v>
      </c>
      <c r="R10">
        <f>+INPUT!J56</f>
        <v>-5.5691216171167043E-4</v>
      </c>
    </row>
    <row r="11" spans="1:32" x14ac:dyDescent="0.2">
      <c r="A11" s="260" t="s">
        <v>77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83" t="s">
        <v>72</v>
      </c>
      <c r="R11" s="30">
        <f>+INPUT!K56</f>
        <v>1.4205811359585907E-4</v>
      </c>
      <c r="S11" s="30"/>
      <c r="T11" s="30"/>
      <c r="U11" s="30"/>
      <c r="V11" s="33"/>
      <c r="W11" s="30"/>
      <c r="X11" s="30"/>
      <c r="Y11" s="30"/>
      <c r="Z11" s="30"/>
    </row>
    <row r="12" spans="1:32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83" t="s">
        <v>71</v>
      </c>
      <c r="R12" s="30">
        <f>+INPUT!L56</f>
        <v>1.0366481059999117E-2</v>
      </c>
      <c r="S12" s="30"/>
      <c r="T12" s="30"/>
      <c r="U12" s="30"/>
      <c r="V12" s="30"/>
      <c r="W12" s="30"/>
      <c r="X12" s="30"/>
      <c r="Y12" s="30"/>
      <c r="Z12" s="30"/>
    </row>
    <row r="13" spans="1:32" x14ac:dyDescent="0.2">
      <c r="A13" s="30"/>
      <c r="B13" s="30"/>
      <c r="C13" s="164" t="s">
        <v>304</v>
      </c>
      <c r="D13" s="165" t="s">
        <v>305</v>
      </c>
      <c r="E13" s="165" t="s">
        <v>306</v>
      </c>
      <c r="F13" s="164" t="s">
        <v>307</v>
      </c>
      <c r="G13" s="164" t="s">
        <v>308</v>
      </c>
      <c r="H13" s="164" t="s">
        <v>309</v>
      </c>
      <c r="I13" s="165" t="s">
        <v>310</v>
      </c>
      <c r="J13" s="164" t="s">
        <v>311</v>
      </c>
      <c r="K13" s="164" t="s">
        <v>312</v>
      </c>
      <c r="L13" s="164" t="s">
        <v>313</v>
      </c>
      <c r="M13" s="30"/>
      <c r="N13" s="30"/>
      <c r="O13" s="30"/>
      <c r="P13" s="30"/>
      <c r="Q13" s="30"/>
      <c r="R13" s="30"/>
      <c r="S13" s="30"/>
      <c r="U13" s="30"/>
      <c r="V13" s="30"/>
      <c r="W13" s="30"/>
      <c r="X13" s="30"/>
      <c r="Y13" s="30"/>
      <c r="Z13" s="30"/>
    </row>
    <row r="14" spans="1:32" x14ac:dyDescent="0.2">
      <c r="C14" s="231" t="s">
        <v>339</v>
      </c>
      <c r="D14" s="231" t="s">
        <v>339</v>
      </c>
      <c r="E14" s="168"/>
      <c r="F14" s="168"/>
      <c r="G14" s="168"/>
      <c r="H14" s="168"/>
      <c r="I14" s="168"/>
      <c r="J14" s="164" t="s">
        <v>5</v>
      </c>
      <c r="K14" s="164" t="s">
        <v>5</v>
      </c>
      <c r="L14" s="168"/>
      <c r="Q14" s="49" t="s">
        <v>60</v>
      </c>
      <c r="R14" s="49"/>
      <c r="S14" s="49"/>
      <c r="T14" s="3" t="s">
        <v>71</v>
      </c>
      <c r="V14" s="49" t="s">
        <v>61</v>
      </c>
      <c r="W14" s="49"/>
      <c r="X14" s="49"/>
      <c r="Y14" s="3" t="s">
        <v>71</v>
      </c>
      <c r="Z14" s="56"/>
    </row>
    <row r="15" spans="1:32" x14ac:dyDescent="0.2">
      <c r="C15" s="164" t="s">
        <v>1</v>
      </c>
      <c r="D15" s="164" t="s">
        <v>73</v>
      </c>
      <c r="E15" s="164"/>
      <c r="F15" s="164"/>
      <c r="G15" s="424" t="s">
        <v>126</v>
      </c>
      <c r="H15" s="424"/>
      <c r="I15" s="425"/>
      <c r="J15" s="164" t="s">
        <v>1</v>
      </c>
      <c r="K15" s="164" t="s">
        <v>73</v>
      </c>
      <c r="L15" s="164"/>
      <c r="Q15" s="26" t="s">
        <v>63</v>
      </c>
      <c r="R15" s="3"/>
      <c r="S15" s="26"/>
      <c r="T15" s="3" t="s">
        <v>1</v>
      </c>
      <c r="V15" s="26" t="s">
        <v>63</v>
      </c>
      <c r="W15" s="3"/>
      <c r="X15" s="26"/>
      <c r="Y15" s="3" t="s">
        <v>1</v>
      </c>
      <c r="Z15" s="26"/>
    </row>
    <row r="16" spans="1:32" x14ac:dyDescent="0.2">
      <c r="A16" s="3"/>
      <c r="B16" s="3"/>
      <c r="C16" s="164" t="s">
        <v>4</v>
      </c>
      <c r="D16" s="164" t="s">
        <v>4</v>
      </c>
      <c r="E16" s="164" t="s">
        <v>74</v>
      </c>
      <c r="F16" s="164" t="s">
        <v>74</v>
      </c>
      <c r="G16" s="164" t="s">
        <v>376</v>
      </c>
      <c r="H16" s="164" t="s">
        <v>72</v>
      </c>
      <c r="I16" s="164" t="s">
        <v>71</v>
      </c>
      <c r="J16" s="164" t="s">
        <v>4</v>
      </c>
      <c r="K16" s="164" t="s">
        <v>4</v>
      </c>
      <c r="L16" s="164" t="s">
        <v>74</v>
      </c>
      <c r="M16" s="3"/>
      <c r="N16" s="3"/>
      <c r="O16" s="3"/>
      <c r="P16" s="3"/>
      <c r="Q16" s="26" t="s">
        <v>62</v>
      </c>
      <c r="R16" s="3" t="s">
        <v>57</v>
      </c>
      <c r="S16" s="26" t="s">
        <v>5</v>
      </c>
      <c r="T16" s="3" t="s">
        <v>75</v>
      </c>
      <c r="V16" s="26" t="s">
        <v>62</v>
      </c>
      <c r="W16" s="3" t="s">
        <v>57</v>
      </c>
      <c r="X16" s="26" t="s">
        <v>5</v>
      </c>
      <c r="Y16" s="3" t="s">
        <v>75</v>
      </c>
      <c r="Z16" s="26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3" t="s">
        <v>50</v>
      </c>
      <c r="B17" s="3"/>
      <c r="C17" s="164"/>
      <c r="D17" s="164"/>
      <c r="E17" s="164" t="s">
        <v>68</v>
      </c>
      <c r="F17" s="165" t="s">
        <v>69</v>
      </c>
      <c r="G17" s="166"/>
      <c r="H17" s="166"/>
      <c r="I17" s="167"/>
      <c r="J17" s="164" t="s">
        <v>68</v>
      </c>
      <c r="K17" s="164" t="s">
        <v>68</v>
      </c>
      <c r="L17" s="165" t="s">
        <v>69</v>
      </c>
      <c r="M17" s="3"/>
      <c r="N17" s="3"/>
      <c r="O17" s="3"/>
      <c r="P17" s="3"/>
      <c r="Q17" s="214" t="s">
        <v>3</v>
      </c>
      <c r="R17" s="80" t="s">
        <v>3</v>
      </c>
      <c r="S17" s="214" t="s">
        <v>4</v>
      </c>
      <c r="T17" s="80" t="s">
        <v>3</v>
      </c>
      <c r="V17" s="214" t="s">
        <v>3</v>
      </c>
      <c r="W17" s="80" t="s">
        <v>3</v>
      </c>
      <c r="X17" s="214" t="s">
        <v>4</v>
      </c>
      <c r="Y17" s="80" t="s">
        <v>3</v>
      </c>
      <c r="Z17" s="57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80"/>
      <c r="B18" s="80"/>
      <c r="C18" s="234"/>
      <c r="D18" s="234"/>
      <c r="E18" s="234" t="str">
        <f>("[ "&amp;D13&amp;" - "&amp;C13&amp;" ]")</f>
        <v>[ B - A ]</v>
      </c>
      <c r="F18" s="234" t="str">
        <f>("[ "&amp;E13&amp;" / "&amp;C13&amp;" ]")</f>
        <v>[ C / A ]</v>
      </c>
      <c r="G18" s="262"/>
      <c r="H18" s="262"/>
      <c r="I18" s="262"/>
      <c r="J18" s="234" t="str">
        <f>("["&amp;C13&amp;"+"&amp;$G$13&amp;"+"&amp;$H$13&amp;"+"&amp;$I$13&amp;"]")</f>
        <v>[A+E+F+G]</v>
      </c>
      <c r="K18" s="234" t="str">
        <f>("["&amp;D13&amp;"+"&amp;$G$13&amp;"+"&amp;$H$13&amp;"+"&amp;$I$13&amp;"]")</f>
        <v>[B+E+F+G]</v>
      </c>
      <c r="L18" s="234" t="str">
        <f>("[("&amp;K13&amp;" - "&amp;J13&amp;")/"&amp;J13&amp;"]")</f>
        <v>[(I - H)/H]</v>
      </c>
      <c r="M18" s="3"/>
      <c r="N18" s="3"/>
      <c r="O18" s="3"/>
      <c r="P18" s="164"/>
      <c r="Q18" s="26"/>
      <c r="R18" s="32">
        <f>+INPUT!$F$6</f>
        <v>0.10297000000000001</v>
      </c>
      <c r="S18" s="26"/>
      <c r="T18" s="42"/>
      <c r="V18" s="26"/>
      <c r="W18" s="32">
        <f>INPUT!$F$28</f>
        <v>0.10636999999999999</v>
      </c>
      <c r="X18" s="26"/>
      <c r="Y18" s="42"/>
      <c r="Z18" s="26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164"/>
      <c r="F19" s="164"/>
      <c r="G19" s="3"/>
      <c r="H19" s="3"/>
      <c r="I19" s="3"/>
      <c r="J19" s="164"/>
      <c r="K19" s="3"/>
      <c r="L19" s="164"/>
      <c r="M19" s="3"/>
      <c r="N19" s="3"/>
      <c r="O19" s="3"/>
      <c r="P19" s="3"/>
      <c r="Q19" s="26"/>
      <c r="R19" s="3" t="s">
        <v>14</v>
      </c>
      <c r="S19" s="26"/>
      <c r="T19" s="3"/>
      <c r="V19" s="26"/>
      <c r="W19" s="3" t="s">
        <v>14</v>
      </c>
      <c r="X19" s="26"/>
      <c r="Y19" s="3"/>
      <c r="Z19" s="26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86"/>
      <c r="H20" s="86"/>
      <c r="I20" s="86"/>
      <c r="J20" s="86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 s="1">
        <v>500</v>
      </c>
      <c r="C21" s="89">
        <f>+S21</f>
        <v>101.88499999999999</v>
      </c>
      <c r="D21" s="89">
        <f>+X21</f>
        <v>103.71124999999999</v>
      </c>
      <c r="E21" s="29">
        <f>+D21-C21</f>
        <v>1.8262500000000017</v>
      </c>
      <c r="F21" s="54">
        <f>ROUND(+E21/C21,4)</f>
        <v>1.7899999999999999E-2</v>
      </c>
      <c r="G21" s="89">
        <f>ROUND($R$10*$A21,2)</f>
        <v>-0.28000000000000003</v>
      </c>
      <c r="H21" s="89">
        <f>ROUND($R$11*$A21,2)</f>
        <v>7.0000000000000007E-2</v>
      </c>
      <c r="I21" s="89">
        <f>ROUND($R$12*$A21,2)</f>
        <v>5.18</v>
      </c>
      <c r="J21" s="89">
        <f>+C21+G21+H21+I21</f>
        <v>106.85499999999999</v>
      </c>
      <c r="K21" s="29">
        <f>+D21+G21+H21+I21</f>
        <v>108.68124999999998</v>
      </c>
      <c r="L21" s="54">
        <f>ROUND((K21-J21)/J21,4)</f>
        <v>1.7100000000000001E-2</v>
      </c>
      <c r="Q21" s="7">
        <f>+INPUT!$F$4</f>
        <v>50.4</v>
      </c>
      <c r="R21" s="6">
        <f>A21*$R$18</f>
        <v>51.484999999999999</v>
      </c>
      <c r="S21" s="6">
        <f>Q21+R21</f>
        <v>101.88499999999999</v>
      </c>
      <c r="T21" s="6"/>
      <c r="V21" s="7">
        <f>INPUT!$F$26</f>
        <v>50.526249999999997</v>
      </c>
      <c r="W21" s="6">
        <f>+$A21*W$18</f>
        <v>53.184999999999995</v>
      </c>
      <c r="X21" s="6">
        <f>V21+W21</f>
        <v>103.71124999999999</v>
      </c>
      <c r="Y21" s="6"/>
      <c r="Z21" s="6"/>
      <c r="AC21" s="6">
        <f>X21-S21</f>
        <v>1.8262500000000017</v>
      </c>
      <c r="AE21" s="8">
        <f>X21/S21-1</f>
        <v>1.7924620896108356E-2</v>
      </c>
      <c r="AF21" s="8"/>
    </row>
    <row r="22" spans="1:32" x14ac:dyDescent="0.2">
      <c r="C22" s="17"/>
      <c r="D22" s="17"/>
      <c r="G22" s="17"/>
      <c r="H22" s="17"/>
      <c r="I22" s="17"/>
      <c r="J22" s="17"/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1000</v>
      </c>
      <c r="C23" s="89">
        <f>+S23</f>
        <v>153.37</v>
      </c>
      <c r="D23" s="89">
        <f>+X23</f>
        <v>156.89624999999998</v>
      </c>
      <c r="E23" s="29">
        <f>+D23-C23</f>
        <v>3.5262499999999761</v>
      </c>
      <c r="F23" s="54">
        <f>ROUND(+E23/C23,4)</f>
        <v>2.3E-2</v>
      </c>
      <c r="G23" s="89">
        <f>ROUND($R$10*$A23,2)</f>
        <v>-0.56000000000000005</v>
      </c>
      <c r="H23" s="89">
        <f>ROUND($R$11*$A23,2)</f>
        <v>0.14000000000000001</v>
      </c>
      <c r="I23" s="89">
        <f>ROUND($R$12*$A23,2)</f>
        <v>10.37</v>
      </c>
      <c r="J23" s="89">
        <f>+C23+G23+H23+I23</f>
        <v>163.32</v>
      </c>
      <c r="K23" s="29">
        <f>+D23+G23+H23+I23</f>
        <v>166.84624999999997</v>
      </c>
      <c r="L23" s="54">
        <f>ROUND((K23-J23)/J23,4)</f>
        <v>2.1600000000000001E-2</v>
      </c>
      <c r="Q23" s="7">
        <f>$Q$21</f>
        <v>50.4</v>
      </c>
      <c r="R23" s="6">
        <f>A23*$R$18</f>
        <v>102.97</v>
      </c>
      <c r="S23" s="6">
        <f>Q23+R23</f>
        <v>153.37</v>
      </c>
      <c r="T23" s="6"/>
      <c r="V23" s="7">
        <f>+$V$21</f>
        <v>50.526249999999997</v>
      </c>
      <c r="W23" s="6">
        <f>+$A23*W$18</f>
        <v>106.36999999999999</v>
      </c>
      <c r="X23" s="6">
        <f>V23+W23</f>
        <v>156.89624999999998</v>
      </c>
      <c r="Y23" s="6"/>
      <c r="Z23" s="6"/>
      <c r="AC23" s="6">
        <f>X23-S23</f>
        <v>3.5262499999999761</v>
      </c>
      <c r="AE23" s="8">
        <f>X23/S23-1</f>
        <v>2.2991784573254126E-2</v>
      </c>
      <c r="AF23" s="8"/>
    </row>
    <row r="24" spans="1:32" x14ac:dyDescent="0.2">
      <c r="C24" s="89"/>
      <c r="D24" s="89"/>
      <c r="E24" s="29"/>
      <c r="F24" s="54"/>
      <c r="G24" s="89"/>
      <c r="H24" s="89"/>
      <c r="I24" s="89"/>
      <c r="J24" s="89"/>
      <c r="K24" s="29"/>
      <c r="L24" s="54"/>
      <c r="Q24" s="55"/>
      <c r="R24" s="6"/>
      <c r="S24" s="6"/>
      <c r="T24" s="6"/>
      <c r="V24" s="7"/>
      <c r="W24" s="6"/>
      <c r="X24" s="6"/>
      <c r="Y24" s="6"/>
      <c r="Z24" s="6"/>
      <c r="AE24" s="27"/>
      <c r="AF24" s="27"/>
    </row>
    <row r="25" spans="1:32" s="10" customFormat="1" x14ac:dyDescent="0.2">
      <c r="A25" s="1">
        <v>2500</v>
      </c>
      <c r="B25"/>
      <c r="C25" s="89">
        <f>+S25</f>
        <v>307.82499999999999</v>
      </c>
      <c r="D25" s="89">
        <f>+X25</f>
        <v>316.45124999999996</v>
      </c>
      <c r="E25" s="29">
        <f>+D25-C25</f>
        <v>8.6262499999999704</v>
      </c>
      <c r="F25" s="54">
        <f>ROUND(+E25/C25,4)</f>
        <v>2.8000000000000001E-2</v>
      </c>
      <c r="G25" s="89">
        <f>ROUND($R$10*$A25,2)</f>
        <v>-1.39</v>
      </c>
      <c r="H25" s="89">
        <f>ROUND($R$11*$A25,2)</f>
        <v>0.36</v>
      </c>
      <c r="I25" s="89">
        <f>ROUND($R$12*$A25,2)</f>
        <v>25.92</v>
      </c>
      <c r="J25" s="89">
        <f>+C25+G25+H25+I25</f>
        <v>332.71500000000003</v>
      </c>
      <c r="K25" s="29">
        <f>+D25+G25+H25+I25</f>
        <v>341.34125</v>
      </c>
      <c r="L25" s="54">
        <f>ROUND((K25-J25)/J25,4)</f>
        <v>2.5899999999999999E-2</v>
      </c>
      <c r="Q25" s="55">
        <f>$Q$21</f>
        <v>50.4</v>
      </c>
      <c r="R25" s="6">
        <f>A25*$R$18</f>
        <v>257.42500000000001</v>
      </c>
      <c r="S25" s="11">
        <f>Q25+R25</f>
        <v>307.82499999999999</v>
      </c>
      <c r="T25" s="6"/>
      <c r="V25" s="7">
        <f>+$V$21</f>
        <v>50.526249999999997</v>
      </c>
      <c r="W25" s="6">
        <f>+$A25*W$18</f>
        <v>265.92499999999995</v>
      </c>
      <c r="X25" s="11">
        <f>V25+W25</f>
        <v>316.45124999999996</v>
      </c>
      <c r="Y25" s="6"/>
      <c r="Z25" s="11"/>
      <c r="AC25" s="11">
        <f>X25-S25</f>
        <v>8.6262499999999704</v>
      </c>
      <c r="AE25" s="27">
        <f>X25/S25-1</f>
        <v>2.8023227483147783E-2</v>
      </c>
      <c r="AF25" s="27"/>
    </row>
    <row r="26" spans="1:32" x14ac:dyDescent="0.2">
      <c r="C26" s="17"/>
      <c r="D26" s="17"/>
      <c r="G26" s="17"/>
      <c r="H26" s="17"/>
      <c r="I26" s="17"/>
      <c r="J26" s="17"/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4">
        <v>4500</v>
      </c>
      <c r="C27" s="89">
        <f>+S27</f>
        <v>513.76499999999999</v>
      </c>
      <c r="D27" s="89">
        <f>+X27</f>
        <v>529.19124999999997</v>
      </c>
      <c r="E27" s="29">
        <f>+D27-C27</f>
        <v>15.426249999999982</v>
      </c>
      <c r="F27" s="54">
        <f>ROUND(+E27/C27,4)</f>
        <v>0.03</v>
      </c>
      <c r="G27" s="89">
        <f>ROUND($R$10*$A27,2)</f>
        <v>-2.5099999999999998</v>
      </c>
      <c r="H27" s="89">
        <f>ROUND($R$11*$A27,2)</f>
        <v>0.64</v>
      </c>
      <c r="I27" s="89">
        <f>ROUND($R$12*$A27,2)</f>
        <v>46.65</v>
      </c>
      <c r="J27" s="89">
        <f>+C27+G27+H27+I27</f>
        <v>558.54499999999996</v>
      </c>
      <c r="K27" s="29">
        <f>+D27+G27+H27+I27</f>
        <v>573.97124999999994</v>
      </c>
      <c r="L27" s="54">
        <f>ROUND((K27-J27)/J27,4)</f>
        <v>2.76E-2</v>
      </c>
      <c r="Q27" s="7">
        <f>$Q$21</f>
        <v>50.4</v>
      </c>
      <c r="R27" s="6">
        <f>A27*$R$18</f>
        <v>463.36500000000001</v>
      </c>
      <c r="S27" s="6">
        <f>Q27+R27</f>
        <v>513.76499999999999</v>
      </c>
      <c r="T27" s="6"/>
      <c r="V27" s="7">
        <f>+$V$21</f>
        <v>50.526249999999997</v>
      </c>
      <c r="W27" s="6">
        <f>+$A27*W$18</f>
        <v>478.66499999999996</v>
      </c>
      <c r="X27" s="6">
        <f>V27+W27</f>
        <v>529.19124999999997</v>
      </c>
      <c r="Y27" s="6"/>
      <c r="Z27" s="6"/>
      <c r="AC27" s="6">
        <f>X27-S27</f>
        <v>15.426249999999982</v>
      </c>
      <c r="AE27" s="8">
        <f>X27/S27-1</f>
        <v>3.0025887322024714E-2</v>
      </c>
      <c r="AF27" s="8"/>
    </row>
    <row r="28" spans="1:32" x14ac:dyDescent="0.2">
      <c r="C28" s="17"/>
      <c r="D28" s="17"/>
      <c r="G28" s="17"/>
      <c r="H28" s="17"/>
      <c r="I28" s="17"/>
      <c r="J28" s="17"/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7500</v>
      </c>
      <c r="C29" s="89">
        <f>+S29</f>
        <v>822.67500000000007</v>
      </c>
      <c r="D29" s="89">
        <f>+X29</f>
        <v>848.30124999999998</v>
      </c>
      <c r="E29" s="29">
        <f>+D29-C29</f>
        <v>25.626249999999914</v>
      </c>
      <c r="F29" s="54">
        <f>ROUND(+E29/C29,4)</f>
        <v>3.1099999999999999E-2</v>
      </c>
      <c r="G29" s="89">
        <f>ROUND($R$10*$A29,2)</f>
        <v>-4.18</v>
      </c>
      <c r="H29" s="89">
        <f>ROUND($R$11*$A29,2)</f>
        <v>1.07</v>
      </c>
      <c r="I29" s="89">
        <f>ROUND($R$12*$A29,2)</f>
        <v>77.75</v>
      </c>
      <c r="J29" s="89">
        <f>+C29+G29+H29+I29</f>
        <v>897.31500000000017</v>
      </c>
      <c r="K29" s="29">
        <f>+D29+G29+H29+I29</f>
        <v>922.94125000000008</v>
      </c>
      <c r="L29" s="54">
        <f>ROUND((K29-J29)/J29,4)</f>
        <v>2.86E-2</v>
      </c>
      <c r="Q29" s="7">
        <f>$Q$21</f>
        <v>50.4</v>
      </c>
      <c r="R29" s="6">
        <f>A29*$R$18</f>
        <v>772.27500000000009</v>
      </c>
      <c r="S29" s="6">
        <f>Q29+R29</f>
        <v>822.67500000000007</v>
      </c>
      <c r="T29" s="6"/>
      <c r="V29" s="7">
        <f>+$V$21</f>
        <v>50.526249999999997</v>
      </c>
      <c r="W29" s="6">
        <f>+$A29*W$18</f>
        <v>797.77499999999998</v>
      </c>
      <c r="X29" s="6">
        <f>V29+W29</f>
        <v>848.30124999999998</v>
      </c>
      <c r="Y29" s="6"/>
      <c r="Z29" s="6"/>
      <c r="AC29" s="6">
        <f>X29-S29</f>
        <v>25.626249999999914</v>
      </c>
      <c r="AE29" s="8">
        <f>X29/S29-1</f>
        <v>3.1149907314553138E-2</v>
      </c>
      <c r="AF29" s="8"/>
    </row>
    <row r="30" spans="1:32" x14ac:dyDescent="0.2">
      <c r="C30" s="17"/>
      <c r="D30" s="17"/>
      <c r="G30" s="17"/>
      <c r="H30" s="17"/>
      <c r="I30" s="17"/>
      <c r="J30" s="17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10000</v>
      </c>
      <c r="C31" s="89">
        <f>+S31</f>
        <v>1080.1000000000001</v>
      </c>
      <c r="D31" s="89">
        <f>+X31</f>
        <v>1114.2262499999997</v>
      </c>
      <c r="E31" s="29">
        <f>+D31-C31</f>
        <v>34.126249999999573</v>
      </c>
      <c r="F31" s="54">
        <f>ROUND(+E31/C31,4)</f>
        <v>3.1600000000000003E-2</v>
      </c>
      <c r="G31" s="89">
        <f>ROUND($R$10*$A31,2)</f>
        <v>-5.57</v>
      </c>
      <c r="H31" s="89">
        <f>ROUND($R$11*$A31,2)</f>
        <v>1.42</v>
      </c>
      <c r="I31" s="89">
        <f>ROUND($R$12*$A31,2)</f>
        <v>103.66</v>
      </c>
      <c r="J31" s="89">
        <f>+C31+G31+H31+I31</f>
        <v>1179.6100000000004</v>
      </c>
      <c r="K31" s="29">
        <f>+D31+G31+H31+I31</f>
        <v>1213.7362499999999</v>
      </c>
      <c r="L31" s="54">
        <f>ROUND((K31-J31)/J31,4)</f>
        <v>2.8899999999999999E-2</v>
      </c>
      <c r="Q31" s="7">
        <f>$Q$21</f>
        <v>50.4</v>
      </c>
      <c r="R31" s="6">
        <f>A31*$R$18</f>
        <v>1029.7</v>
      </c>
      <c r="S31" s="6">
        <f>Q31+R31</f>
        <v>1080.1000000000001</v>
      </c>
      <c r="T31" s="6"/>
      <c r="V31" s="7">
        <f>+$V$21</f>
        <v>50.526249999999997</v>
      </c>
      <c r="W31" s="6">
        <f>+$A31*W$18</f>
        <v>1063.6999999999998</v>
      </c>
      <c r="X31" s="6">
        <f>V31+W31</f>
        <v>1114.2262499999997</v>
      </c>
      <c r="Y31" s="6"/>
      <c r="Z31" s="6"/>
      <c r="AC31" s="6">
        <f>X31-S31</f>
        <v>34.126249999999573</v>
      </c>
      <c r="AE31" s="8">
        <f>X31/S31-1</f>
        <v>3.1595454124617728E-2</v>
      </c>
      <c r="AF31" s="8"/>
    </row>
    <row r="32" spans="1:32" x14ac:dyDescent="0.2">
      <c r="A32" s="1"/>
      <c r="C32" s="17"/>
      <c r="D32" s="17"/>
      <c r="G32" s="17"/>
      <c r="H32" s="17"/>
      <c r="I32" s="17"/>
      <c r="J32" s="17"/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15000</v>
      </c>
      <c r="C33" s="89">
        <f>+S33</f>
        <v>1594.9500000000003</v>
      </c>
      <c r="D33" s="89">
        <f>+X33</f>
        <v>1646.0762499999998</v>
      </c>
      <c r="E33" s="29">
        <f>+D33-C33</f>
        <v>51.126249999999573</v>
      </c>
      <c r="F33" s="54">
        <f>ROUND(+E33/C33,4)</f>
        <v>3.2099999999999997E-2</v>
      </c>
      <c r="G33" s="89">
        <f>ROUND($R$10*$A33,2)</f>
        <v>-8.35</v>
      </c>
      <c r="H33" s="89">
        <f>ROUND($R$11*$A33,2)</f>
        <v>2.13</v>
      </c>
      <c r="I33" s="89">
        <f>ROUND($R$12*$A33,2)</f>
        <v>155.5</v>
      </c>
      <c r="J33" s="89">
        <f>+C33+G33+H33+I33</f>
        <v>1744.2300000000005</v>
      </c>
      <c r="K33" s="29">
        <f>+D33+G33+H33+I33</f>
        <v>1795.35625</v>
      </c>
      <c r="L33" s="54">
        <f>ROUND((K33-J33)/J33,4)</f>
        <v>2.93E-2</v>
      </c>
      <c r="Q33" s="7">
        <f>$Q$21</f>
        <v>50.4</v>
      </c>
      <c r="R33" s="6">
        <f>A33*$R$18</f>
        <v>1544.5500000000002</v>
      </c>
      <c r="S33" s="6">
        <f>Q33+R33</f>
        <v>1594.9500000000003</v>
      </c>
      <c r="T33" s="6"/>
      <c r="V33" s="7">
        <f>+$V$21</f>
        <v>50.526249999999997</v>
      </c>
      <c r="W33" s="6">
        <f>+$A33*W$18</f>
        <v>1595.55</v>
      </c>
      <c r="X33" s="6">
        <f>V33+W33</f>
        <v>1646.0762499999998</v>
      </c>
      <c r="Y33" s="6"/>
      <c r="Z33" s="6"/>
      <c r="AC33" s="6">
        <f>X33-S33</f>
        <v>51.126249999999573</v>
      </c>
      <c r="AE33" s="8">
        <f>X33/S33-1</f>
        <v>3.2055080096554445E-2</v>
      </c>
      <c r="AF33" s="8"/>
    </row>
    <row r="34" spans="1:32" x14ac:dyDescent="0.2">
      <c r="C34" s="17"/>
      <c r="D34" s="17"/>
      <c r="G34" s="17"/>
      <c r="H34" s="17"/>
      <c r="I34" s="17"/>
      <c r="J34" s="17"/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20000</v>
      </c>
      <c r="C35" s="89">
        <f>+S35</f>
        <v>2109.8000000000002</v>
      </c>
      <c r="D35" s="89">
        <f>+X35</f>
        <v>2177.9262499999995</v>
      </c>
      <c r="E35" s="29">
        <f>+D35-C35</f>
        <v>68.126249999999345</v>
      </c>
      <c r="F35" s="54">
        <f>ROUND(+E35/C35,4)</f>
        <v>3.2300000000000002E-2</v>
      </c>
      <c r="G35" s="89">
        <f>ROUND($R$10*$A35,2)</f>
        <v>-11.14</v>
      </c>
      <c r="H35" s="89">
        <f>ROUND($R$11*$A35,2)</f>
        <v>2.84</v>
      </c>
      <c r="I35" s="89">
        <f>ROUND($R$12*$A35,2)</f>
        <v>207.33</v>
      </c>
      <c r="J35" s="89">
        <f>+C35+G35+H35+I35</f>
        <v>2308.8300000000004</v>
      </c>
      <c r="K35" s="29">
        <f>+D35+G35+H35+I35</f>
        <v>2376.9562499999997</v>
      </c>
      <c r="L35" s="54">
        <f>ROUND((K35-J35)/J35,4)</f>
        <v>2.9499999999999998E-2</v>
      </c>
      <c r="Q35" s="7">
        <f>$Q$21</f>
        <v>50.4</v>
      </c>
      <c r="R35" s="6">
        <f>A35*$R$18</f>
        <v>2059.4</v>
      </c>
      <c r="S35" s="6">
        <f>Q35+R35</f>
        <v>2109.8000000000002</v>
      </c>
      <c r="T35" s="6"/>
      <c r="V35" s="7">
        <f>+$V$21</f>
        <v>50.526249999999997</v>
      </c>
      <c r="W35" s="6">
        <f>+$A35*W$18</f>
        <v>2127.3999999999996</v>
      </c>
      <c r="X35" s="6">
        <f>V35+W35</f>
        <v>2177.9262499999995</v>
      </c>
      <c r="Y35" s="6"/>
      <c r="Z35" s="6"/>
      <c r="AE35" s="8"/>
      <c r="AF35" s="8"/>
    </row>
    <row r="36" spans="1:32" x14ac:dyDescent="0.2">
      <c r="C36" s="17"/>
      <c r="D36" s="17"/>
      <c r="G36" s="17"/>
      <c r="H36" s="17"/>
      <c r="I36" s="17"/>
      <c r="J36" s="17"/>
      <c r="Q36" s="7"/>
      <c r="R36" s="6"/>
      <c r="S36" s="6"/>
      <c r="T36" s="6"/>
      <c r="V36" s="7"/>
      <c r="W36" s="6"/>
      <c r="X36" s="6"/>
      <c r="Y36" s="6"/>
      <c r="Z36" s="6"/>
      <c r="AE36" s="8"/>
      <c r="AF36" s="8"/>
    </row>
    <row r="37" spans="1:32" x14ac:dyDescent="0.2">
      <c r="Q37" s="7"/>
    </row>
    <row r="38" spans="1:32" x14ac:dyDescent="0.2">
      <c r="A38" s="17" t="s">
        <v>314</v>
      </c>
    </row>
    <row r="39" spans="1:32" x14ac:dyDescent="0.2">
      <c r="A39" s="170" t="str">
        <f>("Average usage = "&amp;TEXT(INPUT!F20*1,"0,000")&amp;" kWh per month")</f>
        <v>Average usage = 4,465 kWh per month</v>
      </c>
    </row>
    <row r="40" spans="1:32" x14ac:dyDescent="0.2">
      <c r="A40" s="172" t="s">
        <v>315</v>
      </c>
    </row>
    <row r="41" spans="1:32" x14ac:dyDescent="0.2">
      <c r="A41" s="172" t="str">
        <f>+'Rate Case Constants'!C26</f>
        <v>Calculations may vary from other schedules due to rounding</v>
      </c>
    </row>
    <row r="42" spans="1:32" ht="12" customHeight="1" x14ac:dyDescent="0.2"/>
  </sheetData>
  <mergeCells count="5">
    <mergeCell ref="A1:L1"/>
    <mergeCell ref="A2:L2"/>
    <mergeCell ref="A3:L3"/>
    <mergeCell ref="A4:L4"/>
    <mergeCell ref="G15:I15"/>
  </mergeCells>
  <printOptions horizontalCentered="1"/>
  <pageMargins left="0.75" right="0.75" top="1.5" bottom="0.5" header="1" footer="0.5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45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6.140625" customWidth="1"/>
    <col min="2" max="2" width="2.140625" customWidth="1"/>
    <col min="3" max="3" width="7.28515625" bestFit="1" customWidth="1"/>
    <col min="4" max="4" width="2.5703125" customWidth="1"/>
    <col min="5" max="5" width="8.140625" customWidth="1"/>
    <col min="6" max="6" width="3" customWidth="1"/>
    <col min="7" max="8" width="12.28515625" bestFit="1" customWidth="1"/>
    <col min="9" max="9" width="10.28515625" bestFit="1" customWidth="1"/>
    <col min="10" max="10" width="9.28515625" bestFit="1" customWidth="1"/>
    <col min="11" max="11" width="10.7109375" bestFit="1" customWidth="1"/>
    <col min="12" max="12" width="10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19" width="10.85546875" customWidth="1"/>
    <col min="20" max="20" width="10.85546875" bestFit="1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429" t="str">
        <f>+'Rate Case Constants'!C9</f>
        <v>LOUISVILLE GAS AND ELECTRIC COMPANY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42" x14ac:dyDescent="0.2">
      <c r="A2" s="429" t="str">
        <f>+'Rate Case Constants'!C10</f>
        <v>CASE NO. 2018-00295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42" x14ac:dyDescent="0.2">
      <c r="A3" s="430" t="str">
        <f>+'Rate Case Constants'!C24</f>
        <v>Typical Bill Comparison under Present &amp; Proposed Rates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42" x14ac:dyDescent="0.2">
      <c r="A4" s="429" t="str">
        <f>+'Rate Case Constants'!C21</f>
        <v>FORECAST PERIOD FOR THE 12 MONTHS ENDED APRIL 30, 2020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42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42" x14ac:dyDescent="0.2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42" x14ac:dyDescent="0.2">
      <c r="A7" s="249" t="str">
        <f>+'Rate Case Constants'!C33</f>
        <v>DATA: ____BASE PERIOD__X___FORECASTED PERIOD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 t="str">
        <f>+'Rate Case Constants'!C25</f>
        <v>SCHEDULE N</v>
      </c>
    </row>
    <row r="8" spans="1:42" x14ac:dyDescent="0.2">
      <c r="A8" s="249" t="str">
        <f>+'Rate Case Constants'!C29</f>
        <v>TYPE OF FILING: __X__ ORIGINAL  _____ UPDATED  _____ REVISED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1"/>
      <c r="M8" s="249"/>
      <c r="N8" s="249"/>
      <c r="O8" s="249"/>
      <c r="P8" s="251" t="str">
        <f>+'Rate Case Constants'!L13</f>
        <v>PAGE 6 of 26</v>
      </c>
    </row>
    <row r="9" spans="1:42" x14ac:dyDescent="0.2">
      <c r="A9" s="249" t="str">
        <f>+'Rate Case Constants'!C34</f>
        <v>WORKPAPER REFERENCE NO(S):________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1" t="str">
        <f>+'Rate Case Constants'!C36</f>
        <v>WITNESS:   R. M. CONROY</v>
      </c>
    </row>
    <row r="10" spans="1:42" x14ac:dyDescent="0.2">
      <c r="A10" s="24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S10" s="83" t="s">
        <v>70</v>
      </c>
      <c r="T10">
        <f>+INPUT!G57</f>
        <v>-5.6611672567792256E-4</v>
      </c>
    </row>
    <row r="11" spans="1:42" x14ac:dyDescent="0.2">
      <c r="A11" s="260" t="s">
        <v>277</v>
      </c>
      <c r="B11" s="2"/>
      <c r="C11" s="2"/>
      <c r="S11" s="83" t="s">
        <v>72</v>
      </c>
      <c r="T11">
        <f>+INPUT!H57</f>
        <v>2.1644024017912904E-5</v>
      </c>
    </row>
    <row r="12" spans="1:42" x14ac:dyDescent="0.2">
      <c r="B12" s="2"/>
      <c r="C12" s="2"/>
      <c r="S12" s="83" t="s">
        <v>71</v>
      </c>
      <c r="T12">
        <f>+INPUT!I57</f>
        <v>1.9227366819830787E-3</v>
      </c>
    </row>
    <row r="13" spans="1:42" x14ac:dyDescent="0.2">
      <c r="A13" s="44"/>
      <c r="G13" s="164" t="s">
        <v>304</v>
      </c>
      <c r="H13" s="165" t="s">
        <v>305</v>
      </c>
      <c r="I13" s="165" t="s">
        <v>306</v>
      </c>
      <c r="J13" s="164" t="s">
        <v>307</v>
      </c>
      <c r="K13" s="164" t="s">
        <v>308</v>
      </c>
      <c r="L13" s="164" t="s">
        <v>309</v>
      </c>
      <c r="M13" s="165" t="s">
        <v>310</v>
      </c>
      <c r="N13" s="164" t="s">
        <v>311</v>
      </c>
      <c r="O13" s="164" t="s">
        <v>312</v>
      </c>
      <c r="P13" s="164" t="s">
        <v>313</v>
      </c>
      <c r="Y13" s="3" t="s">
        <v>71</v>
      </c>
      <c r="Z13" s="3"/>
      <c r="AG13" s="30"/>
      <c r="AH13" s="3" t="s">
        <v>71</v>
      </c>
      <c r="AI13" s="30"/>
      <c r="AJ13" s="30"/>
      <c r="AK13" s="30"/>
      <c r="AL13" s="30"/>
      <c r="AM13" s="30"/>
      <c r="AN13" s="30"/>
      <c r="AO13" s="30"/>
      <c r="AP13" s="30"/>
    </row>
    <row r="14" spans="1:42" x14ac:dyDescent="0.2">
      <c r="G14" s="231" t="s">
        <v>339</v>
      </c>
      <c r="H14" s="231" t="s">
        <v>339</v>
      </c>
      <c r="I14" s="168"/>
      <c r="J14" s="168"/>
      <c r="K14" s="168"/>
      <c r="L14" s="168"/>
      <c r="M14" s="168"/>
      <c r="N14" s="164" t="s">
        <v>5</v>
      </c>
      <c r="O14" s="164" t="s">
        <v>5</v>
      </c>
      <c r="P14" s="168"/>
      <c r="S14" s="3" t="s">
        <v>1</v>
      </c>
      <c r="T14" s="3" t="s">
        <v>1</v>
      </c>
      <c r="U14" s="3" t="s">
        <v>1</v>
      </c>
      <c r="W14" s="3" t="s">
        <v>1</v>
      </c>
      <c r="Y14" s="3" t="s">
        <v>1</v>
      </c>
      <c r="Z14" s="3"/>
      <c r="AB14" s="3" t="s">
        <v>9</v>
      </c>
      <c r="AC14" s="3" t="s">
        <v>9</v>
      </c>
      <c r="AD14" s="21" t="s">
        <v>9</v>
      </c>
      <c r="AE14" s="20"/>
      <c r="AF14" s="21" t="s">
        <v>9</v>
      </c>
      <c r="AG14" s="20"/>
      <c r="AH14" s="3" t="s">
        <v>1</v>
      </c>
      <c r="AI14" s="20"/>
      <c r="AK14" s="30"/>
      <c r="AM14" s="30"/>
      <c r="AN14" s="30"/>
    </row>
    <row r="15" spans="1:42" x14ac:dyDescent="0.2">
      <c r="C15" s="3" t="s">
        <v>27</v>
      </c>
      <c r="E15" s="3"/>
      <c r="F15" s="3"/>
      <c r="G15" s="164" t="s">
        <v>1</v>
      </c>
      <c r="H15" s="164" t="s">
        <v>73</v>
      </c>
      <c r="I15" s="164"/>
      <c r="J15" s="164"/>
      <c r="K15" s="424" t="s">
        <v>126</v>
      </c>
      <c r="L15" s="424"/>
      <c r="M15" s="425"/>
      <c r="N15" s="164" t="s">
        <v>1</v>
      </c>
      <c r="O15" s="164" t="s">
        <v>73</v>
      </c>
      <c r="P15" s="164"/>
      <c r="Q15" s="3"/>
      <c r="R15" s="3"/>
      <c r="S15" s="3" t="s">
        <v>2</v>
      </c>
      <c r="T15" s="3" t="s">
        <v>57</v>
      </c>
      <c r="U15" s="3" t="s">
        <v>28</v>
      </c>
      <c r="V15" s="3"/>
      <c r="W15" s="3" t="s">
        <v>5</v>
      </c>
      <c r="Y15" s="3" t="s">
        <v>75</v>
      </c>
      <c r="Z15" s="3"/>
      <c r="AB15" s="26" t="s">
        <v>56</v>
      </c>
      <c r="AC15" s="3" t="s">
        <v>57</v>
      </c>
      <c r="AD15" s="22" t="s">
        <v>18</v>
      </c>
      <c r="AE15" s="21"/>
      <c r="AF15" s="21" t="s">
        <v>5</v>
      </c>
      <c r="AG15" s="23"/>
      <c r="AH15" s="3" t="s">
        <v>75</v>
      </c>
      <c r="AI15" s="21" t="s">
        <v>6</v>
      </c>
      <c r="AJ15" s="3" t="s">
        <v>8</v>
      </c>
      <c r="AK15" s="47"/>
      <c r="AL15" s="47"/>
      <c r="AM15" s="46"/>
      <c r="AN15" s="46"/>
      <c r="AO15" s="46"/>
      <c r="AP15" s="46"/>
    </row>
    <row r="16" spans="1:42" x14ac:dyDescent="0.2">
      <c r="A16" s="3" t="s">
        <v>52</v>
      </c>
      <c r="C16" s="3" t="s">
        <v>24</v>
      </c>
      <c r="E16" s="3" t="s">
        <v>51</v>
      </c>
      <c r="F16" s="3"/>
      <c r="G16" s="164" t="s">
        <v>4</v>
      </c>
      <c r="H16" s="164" t="s">
        <v>4</v>
      </c>
      <c r="I16" s="164" t="s">
        <v>74</v>
      </c>
      <c r="J16" s="164" t="s">
        <v>74</v>
      </c>
      <c r="K16" s="164" t="s">
        <v>376</v>
      </c>
      <c r="L16" s="164" t="s">
        <v>72</v>
      </c>
      <c r="M16" s="164" t="s">
        <v>71</v>
      </c>
      <c r="N16" s="164" t="s">
        <v>4</v>
      </c>
      <c r="O16" s="164" t="s">
        <v>4</v>
      </c>
      <c r="P16" s="164" t="s">
        <v>74</v>
      </c>
      <c r="Q16" s="3"/>
      <c r="R16" s="3"/>
      <c r="S16" s="26" t="s">
        <v>3</v>
      </c>
      <c r="T16" s="3" t="s">
        <v>3</v>
      </c>
      <c r="U16" s="3" t="s">
        <v>58</v>
      </c>
      <c r="V16" s="3"/>
      <c r="W16" s="3" t="s">
        <v>4</v>
      </c>
      <c r="Y16" s="3" t="s">
        <v>3</v>
      </c>
      <c r="Z16" s="3"/>
      <c r="AB16" s="26" t="s">
        <v>3</v>
      </c>
      <c r="AC16" s="3" t="s">
        <v>3</v>
      </c>
      <c r="AD16" s="22" t="s">
        <v>55</v>
      </c>
      <c r="AE16" s="21"/>
      <c r="AF16" s="21" t="s">
        <v>4</v>
      </c>
      <c r="AG16" s="23"/>
      <c r="AH16" s="3" t="s">
        <v>3</v>
      </c>
      <c r="AI16" s="21" t="s">
        <v>7</v>
      </c>
      <c r="AJ16" s="3" t="s">
        <v>7</v>
      </c>
      <c r="AL16" s="30"/>
      <c r="AM16" s="30"/>
      <c r="AN16" s="30"/>
      <c r="AO16" s="30"/>
      <c r="AP16" s="30"/>
    </row>
    <row r="17" spans="1:41" x14ac:dyDescent="0.2">
      <c r="A17" s="3"/>
      <c r="C17" s="3"/>
      <c r="E17" s="3"/>
      <c r="F17" s="3"/>
      <c r="G17" s="164"/>
      <c r="H17" s="164"/>
      <c r="I17" s="164" t="s">
        <v>68</v>
      </c>
      <c r="J17" s="165" t="s">
        <v>69</v>
      </c>
      <c r="K17" s="166"/>
      <c r="L17" s="166"/>
      <c r="M17" s="167"/>
      <c r="N17" s="164" t="s">
        <v>68</v>
      </c>
      <c r="O17" s="164" t="s">
        <v>68</v>
      </c>
      <c r="P17" s="165" t="s">
        <v>69</v>
      </c>
      <c r="Q17" s="3"/>
      <c r="R17" s="3"/>
      <c r="S17" s="26"/>
      <c r="T17" s="42">
        <f>+INPUT!$H$6</f>
        <v>3.7560000000000003E-2</v>
      </c>
      <c r="U17" s="45">
        <f>+INPUT!$H$12</f>
        <v>22.04</v>
      </c>
      <c r="V17" s="44" t="s">
        <v>66</v>
      </c>
      <c r="W17" s="3"/>
      <c r="Y17" s="42"/>
      <c r="Z17" s="42"/>
      <c r="AB17" s="26"/>
      <c r="AC17" s="42">
        <f>+INPUT!$H$28</f>
        <v>3.3059999999999999E-2</v>
      </c>
      <c r="AD17" s="45">
        <f>INPUT!$H$33</f>
        <v>24.799999999999997</v>
      </c>
      <c r="AE17" s="44" t="s">
        <v>66</v>
      </c>
      <c r="AF17" s="21"/>
      <c r="AG17" s="23"/>
      <c r="AH17" s="42"/>
      <c r="AI17" s="21"/>
      <c r="AJ17" s="3"/>
      <c r="AM17" s="30"/>
      <c r="AN17" s="46"/>
      <c r="AO17" s="30"/>
    </row>
    <row r="18" spans="1:41" x14ac:dyDescent="0.2">
      <c r="A18" s="80"/>
      <c r="B18" s="16"/>
      <c r="C18" s="80"/>
      <c r="D18" s="16"/>
      <c r="E18" s="80"/>
      <c r="F18" s="80"/>
      <c r="G18" s="234"/>
      <c r="H18" s="234"/>
      <c r="I18" s="234" t="str">
        <f>("[ "&amp;H13&amp;" - "&amp;G13&amp;" ]")</f>
        <v>[ B - A ]</v>
      </c>
      <c r="J18" s="234" t="str">
        <f>("[ "&amp;I13&amp;" / "&amp;G13&amp;" ]")</f>
        <v>[ C / A ]</v>
      </c>
      <c r="K18" s="262"/>
      <c r="L18" s="262"/>
      <c r="M18" s="262"/>
      <c r="N18" s="234" t="str">
        <f>("["&amp;G13&amp;"+"&amp;$K$13&amp;"+"&amp;$L$13&amp;"+"&amp;$M$13&amp;"]")</f>
        <v>[A+E+F+G]</v>
      </c>
      <c r="O18" s="234" t="str">
        <f>("["&amp;H13&amp;"+"&amp;$K$13&amp;"+"&amp;$L$13&amp;"+"&amp;$M$13&amp;"]")</f>
        <v>[B+E+F+G]</v>
      </c>
      <c r="P18" s="234" t="str">
        <f>("[("&amp;O13&amp;" - "&amp;N13&amp;")/"&amp;N13&amp;"]")</f>
        <v>[(I - H)/H]</v>
      </c>
      <c r="Q18" s="3"/>
      <c r="R18" s="3"/>
      <c r="S18" s="26"/>
      <c r="T18" s="3" t="s">
        <v>14</v>
      </c>
      <c r="U18" s="45">
        <f>+INPUT!$H$13</f>
        <v>19.39</v>
      </c>
      <c r="V18" s="44" t="s">
        <v>67</v>
      </c>
      <c r="W18" s="3"/>
      <c r="Y18" s="3" t="s">
        <v>14</v>
      </c>
      <c r="Z18" s="3"/>
      <c r="AB18" s="26"/>
      <c r="AC18" s="3" t="s">
        <v>14</v>
      </c>
      <c r="AD18" s="45">
        <f>INPUT!$H$34</f>
        <v>21.83</v>
      </c>
      <c r="AE18" s="44" t="s">
        <v>67</v>
      </c>
      <c r="AF18" s="21"/>
      <c r="AG18" s="23"/>
      <c r="AH18" s="3" t="s">
        <v>14</v>
      </c>
      <c r="AI18" s="21"/>
      <c r="AJ18" s="3"/>
    </row>
    <row r="19" spans="1:41" x14ac:dyDescent="0.2">
      <c r="A19" s="3"/>
      <c r="E19" s="3"/>
      <c r="F19" s="3"/>
      <c r="G19" s="3"/>
      <c r="H19" s="3"/>
      <c r="I19" s="164"/>
      <c r="J19" s="164"/>
      <c r="K19" s="3"/>
      <c r="L19" s="3"/>
      <c r="M19" s="3"/>
      <c r="N19" s="164"/>
      <c r="O19" s="3"/>
      <c r="P19" s="164"/>
      <c r="Q19" s="3"/>
      <c r="R19" s="3"/>
      <c r="T19" s="3"/>
      <c r="U19" s="3"/>
      <c r="V19" s="3"/>
      <c r="W19" s="3"/>
      <c r="Y19" s="3"/>
      <c r="Z19" s="3"/>
      <c r="AC19" s="21"/>
      <c r="AD19" s="21"/>
      <c r="AE19" s="21"/>
      <c r="AF19" s="21"/>
      <c r="AG19" s="20"/>
      <c r="AH19" s="21"/>
      <c r="AI19" s="20"/>
    </row>
    <row r="20" spans="1:41" x14ac:dyDescent="0.2">
      <c r="A20" s="1">
        <v>50</v>
      </c>
      <c r="C20" s="13">
        <v>0.3</v>
      </c>
      <c r="E20" s="1">
        <f>C20*($A$20*730)</f>
        <v>10950</v>
      </c>
      <c r="G20" s="29">
        <f>+W20</f>
        <v>1525.9920000000002</v>
      </c>
      <c r="H20" s="29">
        <f>+AF20</f>
        <v>1605.4820000000002</v>
      </c>
      <c r="I20" s="29">
        <f>+H20-G20</f>
        <v>79.490000000000009</v>
      </c>
      <c r="J20" s="54">
        <f>ROUND(+I20/G20,4)</f>
        <v>5.21E-2</v>
      </c>
      <c r="K20" s="29">
        <f>ROUND($T$10*$E20,2)</f>
        <v>-6.2</v>
      </c>
      <c r="L20" s="29">
        <f>ROUND($T$11*$E20,2)</f>
        <v>0.24</v>
      </c>
      <c r="M20" s="29">
        <f>ROUND($T$12*$E20,2)</f>
        <v>21.05</v>
      </c>
      <c r="N20" s="29">
        <f>+G20+K20+L20+M20</f>
        <v>1541.0820000000001</v>
      </c>
      <c r="O20" s="29">
        <f>+H20+K20+L20+M20</f>
        <v>1620.5720000000001</v>
      </c>
      <c r="P20" s="54">
        <f>(O20-N20)/N20</f>
        <v>5.1580642691303906E-2</v>
      </c>
      <c r="S20" s="7">
        <f>+INPUT!$H$4</f>
        <v>90</v>
      </c>
      <c r="T20" s="20">
        <f>$T$17*E20</f>
        <v>411.28200000000004</v>
      </c>
      <c r="U20" s="20">
        <f>ROUND((($A$20*$U$17*5)+($A$20*$U$18*7))/12,2)</f>
        <v>1024.71</v>
      </c>
      <c r="V20" s="20"/>
      <c r="W20" s="20">
        <f>S20+T20+U20</f>
        <v>1525.9920000000002</v>
      </c>
      <c r="X20" s="20"/>
      <c r="Y20" s="20"/>
      <c r="Z20" s="20"/>
      <c r="AA20" s="20"/>
      <c r="AB20" s="7">
        <f>INPUT!$H$26</f>
        <v>90.095000000000013</v>
      </c>
      <c r="AC20" s="20">
        <f>$AC$17*E20</f>
        <v>362.00700000000001</v>
      </c>
      <c r="AD20" s="20">
        <f>ROUND((($A$20*$AD$17*5)+($A$20*$AD$18*7))/12,2)</f>
        <v>1153.3800000000001</v>
      </c>
      <c r="AE20" s="20"/>
      <c r="AF20" s="20">
        <f>AB20+AC20+AD20</f>
        <v>1605.4820000000002</v>
      </c>
      <c r="AG20" s="20"/>
      <c r="AH20" s="20"/>
      <c r="AI20" s="19">
        <f>AF20-W20</f>
        <v>79.490000000000009</v>
      </c>
      <c r="AJ20" s="18">
        <f>AF20/W20-1</f>
        <v>5.2090705586923081E-2</v>
      </c>
    </row>
    <row r="21" spans="1:41" x14ac:dyDescent="0.2">
      <c r="A21" s="1"/>
      <c r="C21" s="13">
        <v>0.5</v>
      </c>
      <c r="E21" s="1">
        <f>C21*($A$20*730)</f>
        <v>18250</v>
      </c>
      <c r="G21" s="29">
        <f>+W21</f>
        <v>1800.18</v>
      </c>
      <c r="H21" s="29">
        <f>+AF21</f>
        <v>1846.8200000000002</v>
      </c>
      <c r="I21" s="29">
        <f>+H21-G21</f>
        <v>46.6400000000001</v>
      </c>
      <c r="J21" s="54">
        <f>ROUND(+I21/G21,4)</f>
        <v>2.5899999999999999E-2</v>
      </c>
      <c r="K21" s="29">
        <f>ROUND($T$10*$E21,2)</f>
        <v>-10.33</v>
      </c>
      <c r="L21" s="29">
        <f>ROUND($T$11*$E21,2)</f>
        <v>0.4</v>
      </c>
      <c r="M21" s="29">
        <f>ROUND($T$12*$E21,2)</f>
        <v>35.090000000000003</v>
      </c>
      <c r="N21" s="29">
        <f>+G21+K21+L21+M21</f>
        <v>1825.3400000000001</v>
      </c>
      <c r="O21" s="29">
        <f>+H21+K21+L21+M21</f>
        <v>1871.9800000000002</v>
      </c>
      <c r="P21" s="54">
        <f>(O21-N21)/N21</f>
        <v>2.5551404121971849E-2</v>
      </c>
      <c r="S21" s="7">
        <f>$S$20</f>
        <v>90</v>
      </c>
      <c r="T21" s="20">
        <f>$T$17*E21</f>
        <v>685.47</v>
      </c>
      <c r="U21" s="20">
        <f>ROUND((($A$20*$U$17*5)+($A$20*$U$18*7))/12,2)</f>
        <v>1024.71</v>
      </c>
      <c r="V21" s="20"/>
      <c r="W21" s="20">
        <f>S21+T21+U21</f>
        <v>1800.18</v>
      </c>
      <c r="X21" s="20"/>
      <c r="Y21" s="20"/>
      <c r="Z21" s="20"/>
      <c r="AA21" s="20"/>
      <c r="AB21" s="7">
        <f>INPUT!$H$26</f>
        <v>90.095000000000013</v>
      </c>
      <c r="AC21" s="20">
        <f>$AC$17*E21</f>
        <v>603.34500000000003</v>
      </c>
      <c r="AD21" s="20">
        <f>ROUND((($A$20*$AD$17*5)+($A$20*$AD$18*7))/12,2)</f>
        <v>1153.3800000000001</v>
      </c>
      <c r="AE21" s="20"/>
      <c r="AF21" s="20">
        <f>AB21+AC21+AD21</f>
        <v>1846.8200000000002</v>
      </c>
      <c r="AG21" s="20"/>
      <c r="AH21" s="20"/>
      <c r="AI21" s="19">
        <f>AF21-W21</f>
        <v>46.6400000000001</v>
      </c>
      <c r="AJ21" s="18">
        <f>AF21/W21-1</f>
        <v>2.5908520259085188E-2</v>
      </c>
    </row>
    <row r="22" spans="1:41" x14ac:dyDescent="0.2">
      <c r="A22" s="1"/>
      <c r="C22" s="13">
        <v>0.7</v>
      </c>
      <c r="E22" s="1">
        <f>C22*($A$20*730)</f>
        <v>25550</v>
      </c>
      <c r="G22" s="29">
        <f>+W22</f>
        <v>2074.3680000000004</v>
      </c>
      <c r="H22" s="29">
        <f>+AF22</f>
        <v>2088.1580000000004</v>
      </c>
      <c r="I22" s="29">
        <f>+H22-G22</f>
        <v>13.789999999999964</v>
      </c>
      <c r="J22" s="54">
        <f>ROUND(+I22/G22,4)</f>
        <v>6.6E-3</v>
      </c>
      <c r="K22" s="29">
        <f>ROUND($T$10*$E22,2)</f>
        <v>-14.46</v>
      </c>
      <c r="L22" s="29">
        <f>ROUND($T$11*$E22,2)</f>
        <v>0.55000000000000004</v>
      </c>
      <c r="M22" s="29">
        <f>ROUND($T$12*$E22,2)</f>
        <v>49.13</v>
      </c>
      <c r="N22" s="29">
        <f>+G22+K22+L22+M22</f>
        <v>2109.5880000000006</v>
      </c>
      <c r="O22" s="29">
        <f>+H22+K22+L22+M22</f>
        <v>2123.3780000000006</v>
      </c>
      <c r="P22" s="54">
        <f>(O22-N22)/N22</f>
        <v>6.5368214077819739E-3</v>
      </c>
      <c r="S22" s="7">
        <f>$S$20</f>
        <v>90</v>
      </c>
      <c r="T22" s="20">
        <f>$T$17*E22</f>
        <v>959.65800000000013</v>
      </c>
      <c r="U22" s="20">
        <f>ROUND((($A$20*$U$17*5)+($A$20*$U$18*7))/12,2)</f>
        <v>1024.71</v>
      </c>
      <c r="V22" s="20"/>
      <c r="W22" s="20">
        <f>S22+T22+U22</f>
        <v>2074.3680000000004</v>
      </c>
      <c r="X22" s="20"/>
      <c r="Y22" s="20"/>
      <c r="Z22" s="20"/>
      <c r="AA22" s="20"/>
      <c r="AB22" s="7">
        <f>INPUT!$H$26</f>
        <v>90.095000000000013</v>
      </c>
      <c r="AC22" s="20">
        <f>$AC$17*E22</f>
        <v>844.68299999999999</v>
      </c>
      <c r="AD22" s="20">
        <f>ROUND((($A$20*$AD$17*5)+($A$20*$AD$18*7))/12,2)</f>
        <v>1153.3800000000001</v>
      </c>
      <c r="AE22" s="20"/>
      <c r="AF22" s="20">
        <f>AB22+AC22+AD22</f>
        <v>2088.1580000000004</v>
      </c>
      <c r="AG22" s="20"/>
      <c r="AH22" s="20"/>
      <c r="AI22" s="19">
        <f>AF22-W22</f>
        <v>13.789999999999964</v>
      </c>
      <c r="AJ22" s="18">
        <f>AF22/W22-1</f>
        <v>6.6478079106504495E-3</v>
      </c>
    </row>
    <row r="23" spans="1:41" x14ac:dyDescent="0.2">
      <c r="A23" s="1"/>
      <c r="C23" s="13"/>
      <c r="E23" s="1"/>
      <c r="J23" s="5"/>
      <c r="P23" s="54"/>
      <c r="S23" s="7"/>
      <c r="T23" s="20"/>
      <c r="U23" s="20"/>
      <c r="V23" s="20"/>
      <c r="W23" s="20"/>
      <c r="X23" s="20"/>
      <c r="Y23" s="20"/>
      <c r="Z23" s="20"/>
      <c r="AA23" s="20"/>
      <c r="AB23" s="7"/>
      <c r="AC23" s="20"/>
      <c r="AD23" s="20"/>
      <c r="AE23" s="20"/>
      <c r="AF23" s="20"/>
      <c r="AG23" s="20"/>
      <c r="AH23" s="20"/>
      <c r="AI23" s="19"/>
      <c r="AJ23" s="18"/>
    </row>
    <row r="24" spans="1:41" x14ac:dyDescent="0.2">
      <c r="A24" s="1">
        <v>75</v>
      </c>
      <c r="C24" s="13">
        <v>0.3</v>
      </c>
      <c r="E24" s="1">
        <f>C24*($A$24*730)</f>
        <v>16425</v>
      </c>
      <c r="G24" s="29">
        <f>+W24</f>
        <v>2243.9830000000002</v>
      </c>
      <c r="H24" s="29">
        <f>+AF24</f>
        <v>2363.1655000000001</v>
      </c>
      <c r="I24" s="29">
        <f>+H24-G24</f>
        <v>119.18249999999989</v>
      </c>
      <c r="J24" s="54">
        <f>ROUND(+I24/G24,4)</f>
        <v>5.3100000000000001E-2</v>
      </c>
      <c r="K24" s="29">
        <f>ROUND($T$10*$E24,2)</f>
        <v>-9.3000000000000007</v>
      </c>
      <c r="L24" s="29">
        <f>ROUND($T$11*$E24,2)</f>
        <v>0.36</v>
      </c>
      <c r="M24" s="29">
        <f>ROUND($T$12*$E24,2)</f>
        <v>31.58</v>
      </c>
      <c r="N24" s="29">
        <f>+G24+K24+L24+M24</f>
        <v>2266.623</v>
      </c>
      <c r="O24" s="29">
        <f>+H24+K24+L24+M24</f>
        <v>2385.8054999999999</v>
      </c>
      <c r="P24" s="54">
        <f>(O24-N24)/N24</f>
        <v>5.2581527673547776E-2</v>
      </c>
      <c r="S24" s="7">
        <f>$S$20</f>
        <v>90</v>
      </c>
      <c r="T24" s="20">
        <f>$T$17*E24</f>
        <v>616.923</v>
      </c>
      <c r="U24" s="20">
        <f>ROUND((($A$24*$U$17*5)+($A$24*$U$18*7))/12,2)</f>
        <v>1537.06</v>
      </c>
      <c r="V24" s="20"/>
      <c r="W24" s="20">
        <f>S24+T24+U24</f>
        <v>2243.9830000000002</v>
      </c>
      <c r="X24" s="20"/>
      <c r="Y24" s="20"/>
      <c r="Z24" s="20"/>
      <c r="AA24" s="20"/>
      <c r="AB24" s="7">
        <f>INPUT!$H$26</f>
        <v>90.095000000000013</v>
      </c>
      <c r="AC24" s="20">
        <f>$AC$17*E24</f>
        <v>543.01049999999998</v>
      </c>
      <c r="AD24" s="20">
        <f>ROUND((($A$24*$AD$17*5)+($A$24*$AD$18*7))/12,2)</f>
        <v>1730.06</v>
      </c>
      <c r="AE24" s="20"/>
      <c r="AF24" s="20">
        <f>AB24+AC24+AD24</f>
        <v>2363.1655000000001</v>
      </c>
      <c r="AG24" s="24"/>
      <c r="AH24" s="20"/>
      <c r="AI24" s="19">
        <f>AF24-W24</f>
        <v>119.18249999999989</v>
      </c>
      <c r="AJ24" s="18">
        <f>AF24/W24-1</f>
        <v>5.3112033379931978E-2</v>
      </c>
    </row>
    <row r="25" spans="1:41" x14ac:dyDescent="0.2">
      <c r="A25" s="1"/>
      <c r="C25" s="13">
        <v>0.5</v>
      </c>
      <c r="E25" s="1">
        <f>C25*($A$24*730)</f>
        <v>27375</v>
      </c>
      <c r="G25" s="29">
        <f>+W25</f>
        <v>2655.2650000000003</v>
      </c>
      <c r="H25" s="29">
        <f>+AF25</f>
        <v>2725.1724999999997</v>
      </c>
      <c r="I25" s="29">
        <f>+H25-G25</f>
        <v>69.907499999999345</v>
      </c>
      <c r="J25" s="54">
        <f>ROUND(+I25/G25,4)</f>
        <v>2.63E-2</v>
      </c>
      <c r="K25" s="29">
        <f>ROUND($T$10*$E25,2)</f>
        <v>-15.5</v>
      </c>
      <c r="L25" s="29">
        <f>ROUND($T$11*$E25,2)</f>
        <v>0.59</v>
      </c>
      <c r="M25" s="29">
        <f>ROUND($T$12*$E25,2)</f>
        <v>52.63</v>
      </c>
      <c r="N25" s="29">
        <f>+G25+K25+L25+M25</f>
        <v>2692.9850000000006</v>
      </c>
      <c r="O25" s="29">
        <f>+H25+K25+L25+M25</f>
        <v>2762.8924999999999</v>
      </c>
      <c r="P25" s="54">
        <f>(O25-N25)/N25</f>
        <v>2.5959112286180329E-2</v>
      </c>
      <c r="S25" s="7">
        <f>$S$20</f>
        <v>90</v>
      </c>
      <c r="T25" s="20">
        <f>$T$17*E25</f>
        <v>1028.2050000000002</v>
      </c>
      <c r="U25" s="20">
        <f>ROUND((($A$24*$U$17*5)+($A$24*$U$18*7))/12,2)</f>
        <v>1537.06</v>
      </c>
      <c r="V25" s="20"/>
      <c r="W25" s="20">
        <f>S25+T25+U25</f>
        <v>2655.2650000000003</v>
      </c>
      <c r="X25" s="20"/>
      <c r="Y25" s="20"/>
      <c r="Z25" s="20"/>
      <c r="AA25" s="20"/>
      <c r="AB25" s="7">
        <f>INPUT!$H$26</f>
        <v>90.095000000000013</v>
      </c>
      <c r="AC25" s="20">
        <f>$AC$17*E25</f>
        <v>905.01749999999993</v>
      </c>
      <c r="AD25" s="20">
        <f>ROUND((($A$24*$AD$17*5)+($A$24*$AD$18*7))/12,2)</f>
        <v>1730.06</v>
      </c>
      <c r="AE25" s="20"/>
      <c r="AF25" s="20">
        <f>AB25+AC25+AD25</f>
        <v>2725.1724999999997</v>
      </c>
      <c r="AG25" s="24"/>
      <c r="AH25" s="20"/>
      <c r="AI25" s="19">
        <f>AF25-W25</f>
        <v>69.907499999999345</v>
      </c>
      <c r="AJ25" s="18">
        <f>AF25/W25-1</f>
        <v>2.6327880644681168E-2</v>
      </c>
    </row>
    <row r="26" spans="1:41" x14ac:dyDescent="0.2">
      <c r="A26" s="1"/>
      <c r="C26" s="13">
        <v>0.7</v>
      </c>
      <c r="E26" s="1">
        <f>C26*($A$24*730)</f>
        <v>38325</v>
      </c>
      <c r="G26" s="29">
        <f>+W26</f>
        <v>3066.547</v>
      </c>
      <c r="H26" s="29">
        <f>+AF26</f>
        <v>3087.1795000000002</v>
      </c>
      <c r="I26" s="29">
        <f>+H26-G26</f>
        <v>20.632500000000164</v>
      </c>
      <c r="J26" s="54">
        <f>ROUND(+I26/G26,4)</f>
        <v>6.7000000000000002E-3</v>
      </c>
      <c r="K26" s="29">
        <f>ROUND($T$10*$E26,2)</f>
        <v>-21.7</v>
      </c>
      <c r="L26" s="29">
        <f>ROUND($T$11*$E26,2)</f>
        <v>0.83</v>
      </c>
      <c r="M26" s="29">
        <f>ROUND($T$12*$E26,2)</f>
        <v>73.69</v>
      </c>
      <c r="N26" s="29">
        <f>+G26+K26+L26+M26</f>
        <v>3119.3670000000002</v>
      </c>
      <c r="O26" s="29">
        <f>+H26+K26+L26+M26</f>
        <v>3139.9995000000004</v>
      </c>
      <c r="P26" s="54">
        <f>(O26-N26)/N26</f>
        <v>6.6143227135505899E-3</v>
      </c>
      <c r="S26" s="7">
        <f>$S$20</f>
        <v>90</v>
      </c>
      <c r="T26" s="20">
        <f>$T$17*E26</f>
        <v>1439.4870000000001</v>
      </c>
      <c r="U26" s="20">
        <f>ROUND((($A$24*$U$17*5)+($A$24*$U$18*7))/12,2)</f>
        <v>1537.06</v>
      </c>
      <c r="V26" s="20"/>
      <c r="W26" s="20">
        <f>S26+T26+U26</f>
        <v>3066.547</v>
      </c>
      <c r="X26" s="20"/>
      <c r="Y26" s="20"/>
      <c r="Z26" s="20"/>
      <c r="AA26" s="20"/>
      <c r="AB26" s="7">
        <f>INPUT!$H$26</f>
        <v>90.095000000000013</v>
      </c>
      <c r="AC26" s="20">
        <f>$AC$17*E26</f>
        <v>1267.0245</v>
      </c>
      <c r="AD26" s="20">
        <f>ROUND((($A$24*$AD$17*5)+($A$24*$AD$18*7))/12,2)</f>
        <v>1730.06</v>
      </c>
      <c r="AE26" s="20"/>
      <c r="AF26" s="20">
        <f>AB26+AC26+AD26</f>
        <v>3087.1795000000002</v>
      </c>
      <c r="AG26" s="20"/>
      <c r="AH26" s="20"/>
      <c r="AI26" s="19">
        <f>AF26-W26</f>
        <v>20.632500000000164</v>
      </c>
      <c r="AJ26" s="18">
        <f>AF26/W26-1</f>
        <v>6.7282516785165392E-3</v>
      </c>
    </row>
    <row r="27" spans="1:41" x14ac:dyDescent="0.2">
      <c r="A27" s="1"/>
      <c r="C27" s="13"/>
      <c r="E27" s="1"/>
      <c r="J27" s="5"/>
      <c r="P27" s="54"/>
      <c r="S27" s="7"/>
      <c r="T27" s="20"/>
      <c r="U27" s="20"/>
      <c r="V27" s="20"/>
      <c r="W27" s="20"/>
      <c r="X27" s="20"/>
      <c r="Y27" s="20"/>
      <c r="Z27" s="20"/>
      <c r="AA27" s="20"/>
      <c r="AB27" s="7"/>
      <c r="AC27" s="20"/>
      <c r="AD27" s="20"/>
      <c r="AE27" s="20"/>
      <c r="AF27" s="20"/>
      <c r="AG27" s="20"/>
      <c r="AH27" s="20"/>
      <c r="AI27" s="19"/>
      <c r="AJ27" s="18"/>
    </row>
    <row r="28" spans="1:41" x14ac:dyDescent="0.2">
      <c r="A28" s="1">
        <v>100</v>
      </c>
      <c r="C28" s="13">
        <v>0.3</v>
      </c>
      <c r="E28" s="1">
        <f>C28*($A$28*730)</f>
        <v>21900</v>
      </c>
      <c r="G28" s="29">
        <f>+W28</f>
        <v>2961.9840000000004</v>
      </c>
      <c r="H28" s="29">
        <f>+AF28</f>
        <v>3120.8589999999999</v>
      </c>
      <c r="I28" s="29">
        <f>+H28-G28</f>
        <v>158.87499999999955</v>
      </c>
      <c r="J28" s="54">
        <f>ROUND(+I28/G28,4)</f>
        <v>5.3600000000000002E-2</v>
      </c>
      <c r="K28" s="29">
        <f>ROUND($T$10*$E28,2)</f>
        <v>-12.4</v>
      </c>
      <c r="L28" s="29">
        <f>ROUND($T$11*$E28,2)</f>
        <v>0.47</v>
      </c>
      <c r="M28" s="29">
        <f>ROUND($T$12*$E28,2)</f>
        <v>42.11</v>
      </c>
      <c r="N28" s="29">
        <f>+G28+K28+L28+M28</f>
        <v>2992.1640000000002</v>
      </c>
      <c r="O28" s="29">
        <f>+H28+K28+L28+M28</f>
        <v>3151.0389999999998</v>
      </c>
      <c r="P28" s="54">
        <f>(O28-N28)/N28</f>
        <v>5.3097022756773873E-2</v>
      </c>
      <c r="S28" s="7">
        <f>$S$20</f>
        <v>90</v>
      </c>
      <c r="T28" s="20">
        <f>$T$17*E28</f>
        <v>822.56400000000008</v>
      </c>
      <c r="U28" s="20">
        <f>ROUND((($A$28*$U$17*5)+($A$28*$U$18*7))/12,2)</f>
        <v>2049.42</v>
      </c>
      <c r="V28" s="20"/>
      <c r="W28" s="20">
        <f>S28+T28+U28</f>
        <v>2961.9840000000004</v>
      </c>
      <c r="X28" s="20"/>
      <c r="Y28" s="20"/>
      <c r="Z28" s="20"/>
      <c r="AA28" s="20"/>
      <c r="AB28" s="7">
        <f>INPUT!$H$26</f>
        <v>90.095000000000013</v>
      </c>
      <c r="AC28" s="20">
        <f>$AC$17*E28</f>
        <v>724.01400000000001</v>
      </c>
      <c r="AD28" s="20">
        <f>ROUND((($A$28*$AD$17*5)+($A$28*$AD$18*7))/12,2)</f>
        <v>2306.75</v>
      </c>
      <c r="AE28" s="20"/>
      <c r="AF28" s="20">
        <f>AB28+AC28+AD28</f>
        <v>3120.8589999999999</v>
      </c>
      <c r="AG28" s="20"/>
      <c r="AH28" s="20"/>
      <c r="AI28" s="19">
        <f>AF28-W28</f>
        <v>158.87499999999955</v>
      </c>
      <c r="AJ28" s="18">
        <f>AF28/W28-1</f>
        <v>5.3638034506600762E-2</v>
      </c>
    </row>
    <row r="29" spans="1:41" x14ac:dyDescent="0.2">
      <c r="A29" s="1"/>
      <c r="C29" s="13">
        <v>0.5</v>
      </c>
      <c r="E29" s="1">
        <f>C29*($A$28*730)</f>
        <v>36500</v>
      </c>
      <c r="G29" s="29">
        <f>+W29</f>
        <v>3510.36</v>
      </c>
      <c r="H29" s="29">
        <f>+AF29</f>
        <v>3603.5349999999999</v>
      </c>
      <c r="I29" s="29">
        <f>+H29-G29</f>
        <v>93.174999999999727</v>
      </c>
      <c r="J29" s="54">
        <f>ROUND(+I29/G29,4)</f>
        <v>2.6499999999999999E-2</v>
      </c>
      <c r="K29" s="29">
        <f>ROUND($T$10*$E29,2)</f>
        <v>-20.66</v>
      </c>
      <c r="L29" s="29">
        <f>ROUND($T$11*$E29,2)</f>
        <v>0.79</v>
      </c>
      <c r="M29" s="29">
        <f>ROUND($T$12*$E29,2)</f>
        <v>70.180000000000007</v>
      </c>
      <c r="N29" s="29">
        <f>+G29+K29+L29+M29</f>
        <v>3560.67</v>
      </c>
      <c r="O29" s="29">
        <f>+H29+K29+L29+M29</f>
        <v>3653.8449999999998</v>
      </c>
      <c r="P29" s="54">
        <f>(O29-N29)/N29</f>
        <v>2.6167827964961574E-2</v>
      </c>
      <c r="S29" s="7">
        <f>$S$20</f>
        <v>90</v>
      </c>
      <c r="T29" s="20">
        <f>$T$17*E29</f>
        <v>1370.94</v>
      </c>
      <c r="U29" s="20">
        <f>ROUND((($A$28*$U$17*5)+($A$28*$U$18*7))/12,2)</f>
        <v>2049.42</v>
      </c>
      <c r="V29" s="20"/>
      <c r="W29" s="20">
        <f>S29+T29+U29</f>
        <v>3510.36</v>
      </c>
      <c r="X29" s="20"/>
      <c r="Y29" s="20"/>
      <c r="Z29" s="20"/>
      <c r="AA29" s="20"/>
      <c r="AB29" s="7">
        <f>INPUT!$H$26</f>
        <v>90.095000000000013</v>
      </c>
      <c r="AC29" s="20">
        <f>$AC$17*E29</f>
        <v>1206.69</v>
      </c>
      <c r="AD29" s="20">
        <f>ROUND((($A$28*$AD$17*5)+($A$28*$AD$18*7))/12,2)</f>
        <v>2306.75</v>
      </c>
      <c r="AE29" s="20"/>
      <c r="AF29" s="20">
        <f>AB29+AC29+AD29</f>
        <v>3603.5349999999999</v>
      </c>
      <c r="AG29" s="20"/>
      <c r="AH29" s="20"/>
      <c r="AI29" s="19">
        <f>AF29-W29</f>
        <v>93.174999999999727</v>
      </c>
      <c r="AJ29" s="18">
        <f>AF29/W29-1</f>
        <v>2.6542861700794118E-2</v>
      </c>
    </row>
    <row r="30" spans="1:41" x14ac:dyDescent="0.2">
      <c r="A30" s="1"/>
      <c r="C30" s="13">
        <v>0.7</v>
      </c>
      <c r="E30" s="1">
        <f>C30*($A$28*730)</f>
        <v>51100</v>
      </c>
      <c r="G30" s="29">
        <f>+W30</f>
        <v>4058.7360000000003</v>
      </c>
      <c r="H30" s="29">
        <f>+AF30</f>
        <v>4086.2110000000002</v>
      </c>
      <c r="I30" s="29">
        <f>+H30-G30</f>
        <v>27.474999999999909</v>
      </c>
      <c r="J30" s="54">
        <f>ROUND(+I30/G30,4)</f>
        <v>6.7999999999999996E-3</v>
      </c>
      <c r="K30" s="29">
        <f>ROUND($T$10*$E30,2)</f>
        <v>-28.93</v>
      </c>
      <c r="L30" s="29">
        <f>ROUND($T$11*$E30,2)</f>
        <v>1.1100000000000001</v>
      </c>
      <c r="M30" s="29">
        <f>ROUND($T$12*$E30,2)</f>
        <v>98.25</v>
      </c>
      <c r="N30" s="29">
        <f>+G30+K30+L30+M30</f>
        <v>4129.1660000000011</v>
      </c>
      <c r="O30" s="29">
        <f>+H30+K30+L30+M30</f>
        <v>4156.6410000000005</v>
      </c>
      <c r="P30" s="54">
        <f>(O30-N30)/N30</f>
        <v>6.6538860389723847E-3</v>
      </c>
      <c r="S30" s="7">
        <f>$S$20</f>
        <v>90</v>
      </c>
      <c r="T30" s="20">
        <f>$T$17*E30</f>
        <v>1919.3160000000003</v>
      </c>
      <c r="U30" s="20">
        <f>ROUND((($A$28*$U$17*5)+($A$28*$U$18*7))/12,2)</f>
        <v>2049.42</v>
      </c>
      <c r="V30" s="20"/>
      <c r="W30" s="20">
        <f>S30+T30+U30</f>
        <v>4058.7360000000003</v>
      </c>
      <c r="X30" s="20"/>
      <c r="Y30" s="20"/>
      <c r="Z30" s="20"/>
      <c r="AA30" s="20"/>
      <c r="AB30" s="7">
        <f>INPUT!$H$26</f>
        <v>90.095000000000013</v>
      </c>
      <c r="AC30" s="20">
        <f>$AC$17*E30</f>
        <v>1689.366</v>
      </c>
      <c r="AD30" s="20">
        <f>ROUND((($A$28*$AD$17*5)+($A$28*$AD$18*7))/12,2)</f>
        <v>2306.75</v>
      </c>
      <c r="AE30" s="20"/>
      <c r="AF30" s="20">
        <f>AB30+AC30+AD30</f>
        <v>4086.2110000000002</v>
      </c>
      <c r="AG30" s="20"/>
      <c r="AH30" s="20"/>
      <c r="AI30" s="19">
        <f>AF30-W30</f>
        <v>27.474999999999909</v>
      </c>
      <c r="AJ30" s="18">
        <f>AF30/W30-1</f>
        <v>6.7693488810309788E-3</v>
      </c>
    </row>
    <row r="31" spans="1:41" x14ac:dyDescent="0.2">
      <c r="A31" s="1"/>
      <c r="C31" s="13"/>
      <c r="E31" s="1"/>
      <c r="J31" s="5"/>
      <c r="P31" s="54"/>
      <c r="S31" s="7"/>
      <c r="T31" s="20"/>
      <c r="U31" s="20"/>
      <c r="V31" s="20"/>
      <c r="W31" s="20"/>
      <c r="X31" s="20"/>
      <c r="Y31" s="20"/>
      <c r="Z31" s="20"/>
      <c r="AA31" s="20"/>
      <c r="AB31" s="7"/>
      <c r="AC31" s="20"/>
      <c r="AD31" s="20"/>
      <c r="AE31" s="20"/>
      <c r="AF31" s="20"/>
      <c r="AG31" s="20"/>
      <c r="AH31" s="20"/>
      <c r="AI31" s="19"/>
      <c r="AJ31" s="18"/>
    </row>
    <row r="32" spans="1:41" x14ac:dyDescent="0.2">
      <c r="A32" s="1">
        <v>150</v>
      </c>
      <c r="C32" s="13">
        <v>0.3</v>
      </c>
      <c r="E32" s="1">
        <f>C32*($A$32*730)</f>
        <v>32850</v>
      </c>
      <c r="G32" s="29">
        <f>+W32</f>
        <v>4397.9760000000006</v>
      </c>
      <c r="H32" s="29">
        <f>+AF32</f>
        <v>4636.2460000000001</v>
      </c>
      <c r="I32" s="29">
        <f>+H32-G32</f>
        <v>238.26999999999953</v>
      </c>
      <c r="J32" s="54">
        <f>ROUND(+I32/G32,4)</f>
        <v>5.4199999999999998E-2</v>
      </c>
      <c r="K32" s="29">
        <f>ROUND($T$10*$E32,2)</f>
        <v>-18.600000000000001</v>
      </c>
      <c r="L32" s="29">
        <f>ROUND($T$11*$E32,2)</f>
        <v>0.71</v>
      </c>
      <c r="M32" s="29">
        <f>ROUND($T$12*$E32,2)</f>
        <v>63.16</v>
      </c>
      <c r="N32" s="29">
        <f>+G32+K32+L32+M32</f>
        <v>4443.2460000000001</v>
      </c>
      <c r="O32" s="29">
        <f>+H32+K32+L32+M32</f>
        <v>4681.5159999999996</v>
      </c>
      <c r="P32" s="54">
        <f>(O32-N32)/N32</f>
        <v>5.362521003788661E-2</v>
      </c>
      <c r="S32" s="7">
        <f>$S$20</f>
        <v>90</v>
      </c>
      <c r="T32" s="20">
        <f>$T$17*E32</f>
        <v>1233.846</v>
      </c>
      <c r="U32" s="20">
        <f>ROUND((($A$32*$U$17*5)+($A$32*$U$18*7))/12,2)</f>
        <v>3074.13</v>
      </c>
      <c r="V32" s="20"/>
      <c r="W32" s="20">
        <f>S32+T32+U32</f>
        <v>4397.9760000000006</v>
      </c>
      <c r="X32" s="20"/>
      <c r="Y32" s="20"/>
      <c r="Z32" s="20"/>
      <c r="AA32" s="20"/>
      <c r="AB32" s="7">
        <f>INPUT!$H$26</f>
        <v>90.095000000000013</v>
      </c>
      <c r="AC32" s="20">
        <f>$AC$17*E32</f>
        <v>1086.021</v>
      </c>
      <c r="AD32" s="20">
        <f>ROUND((($A$32*$AD$17*5)+($A$32*$AD$18*7))/12,2)</f>
        <v>3460.13</v>
      </c>
      <c r="AE32" s="20"/>
      <c r="AF32" s="20">
        <f>AB32+AC32+AD32</f>
        <v>4636.2460000000001</v>
      </c>
      <c r="AG32" s="20"/>
      <c r="AH32" s="20"/>
      <c r="AI32" s="19">
        <f>AF32-W32</f>
        <v>238.26999999999953</v>
      </c>
      <c r="AJ32" s="18">
        <f>AF32/W32-1</f>
        <v>5.4177194236621373E-2</v>
      </c>
    </row>
    <row r="33" spans="1:36" x14ac:dyDescent="0.2">
      <c r="A33" s="1"/>
      <c r="C33" s="13">
        <v>0.5</v>
      </c>
      <c r="E33" s="1">
        <f>C33*($A$32*730)</f>
        <v>54750</v>
      </c>
      <c r="G33" s="29">
        <f>+W33</f>
        <v>5220.5400000000009</v>
      </c>
      <c r="H33" s="29">
        <f>+AF33</f>
        <v>5360.26</v>
      </c>
      <c r="I33" s="29">
        <f>+H33-G33</f>
        <v>139.71999999999935</v>
      </c>
      <c r="J33" s="54">
        <f>ROUND(+I33/G33,4)</f>
        <v>2.6800000000000001E-2</v>
      </c>
      <c r="K33" s="29">
        <f>ROUND($T$10*$E33,2)</f>
        <v>-30.99</v>
      </c>
      <c r="L33" s="29">
        <f>ROUND($T$11*$E33,2)</f>
        <v>1.19</v>
      </c>
      <c r="M33" s="29">
        <f>ROUND($T$12*$E33,2)</f>
        <v>105.27</v>
      </c>
      <c r="N33" s="29">
        <f>+G33+K33+L33+M33</f>
        <v>5296.0100000000011</v>
      </c>
      <c r="O33" s="29">
        <f>+H33+K33+L33+M33</f>
        <v>5435.7300000000005</v>
      </c>
      <c r="P33" s="54">
        <f>(O33-N33)/N33</f>
        <v>2.6382125411394487E-2</v>
      </c>
      <c r="S33" s="7">
        <f>$S$20</f>
        <v>90</v>
      </c>
      <c r="T33" s="20">
        <f>$T$17*E33</f>
        <v>2056.4100000000003</v>
      </c>
      <c r="U33" s="20">
        <f>ROUND((($A$32*$U$17*5)+($A$32*$U$18*7))/12,2)</f>
        <v>3074.13</v>
      </c>
      <c r="V33" s="20"/>
      <c r="W33" s="20">
        <f>S33+T33+U33</f>
        <v>5220.5400000000009</v>
      </c>
      <c r="X33" s="20"/>
      <c r="Y33" s="20"/>
      <c r="Z33" s="20"/>
      <c r="AA33" s="20"/>
      <c r="AB33" s="7">
        <f>INPUT!$H$26</f>
        <v>90.095000000000013</v>
      </c>
      <c r="AC33" s="20">
        <f>$AC$17*E33</f>
        <v>1810.0349999999999</v>
      </c>
      <c r="AD33" s="20">
        <f>ROUND((($A$32*$AD$17*5)+($A$32*$AD$18*7))/12,2)</f>
        <v>3460.13</v>
      </c>
      <c r="AE33" s="20"/>
      <c r="AF33" s="20">
        <f>AB33+AC33+AD33</f>
        <v>5360.26</v>
      </c>
      <c r="AG33" s="20"/>
      <c r="AH33" s="20"/>
      <c r="AI33" s="19">
        <f>AF33-W33</f>
        <v>139.71999999999935</v>
      </c>
      <c r="AJ33" s="18">
        <f>AF33/W33-1</f>
        <v>2.6763514885433271E-2</v>
      </c>
    </row>
    <row r="34" spans="1:36" x14ac:dyDescent="0.2">
      <c r="A34" s="1"/>
      <c r="C34" s="13">
        <v>0.7</v>
      </c>
      <c r="E34" s="1">
        <f>C34*($A$32*730)</f>
        <v>76650</v>
      </c>
      <c r="G34" s="29">
        <f>+W34</f>
        <v>6043.1040000000003</v>
      </c>
      <c r="H34" s="29">
        <f>+AF34</f>
        <v>6084.2739999999994</v>
      </c>
      <c r="I34" s="29">
        <f>+H34-G34</f>
        <v>41.169999999999163</v>
      </c>
      <c r="J34" s="54">
        <f>ROUND(+I34/G34,4)</f>
        <v>6.7999999999999996E-3</v>
      </c>
      <c r="K34" s="29">
        <f>ROUND($T$10*$E34,2)</f>
        <v>-43.39</v>
      </c>
      <c r="L34" s="29">
        <f>ROUND($T$11*$E34,2)</f>
        <v>1.66</v>
      </c>
      <c r="M34" s="29">
        <f>ROUND($T$12*$E34,2)</f>
        <v>147.38</v>
      </c>
      <c r="N34" s="29">
        <f>+G34+K34+L34+M34</f>
        <v>6148.7539999999999</v>
      </c>
      <c r="O34" s="29">
        <f>+H34+K34+L34+M34</f>
        <v>6189.9239999999991</v>
      </c>
      <c r="P34" s="54">
        <f>(O34-N34)/N34</f>
        <v>6.6956654958060064E-3</v>
      </c>
      <c r="S34" s="7">
        <f>$S$20</f>
        <v>90</v>
      </c>
      <c r="T34" s="20">
        <f>$T$17*E34</f>
        <v>2878.9740000000002</v>
      </c>
      <c r="U34" s="20">
        <f>ROUND((($A$32*$U$17*5)+($A$32*$U$18*7))/12,2)</f>
        <v>3074.13</v>
      </c>
      <c r="V34" s="20"/>
      <c r="W34" s="20">
        <f>S34+T34+U34</f>
        <v>6043.1040000000003</v>
      </c>
      <c r="X34" s="20"/>
      <c r="Y34" s="20"/>
      <c r="Z34" s="20"/>
      <c r="AA34" s="20"/>
      <c r="AB34" s="7">
        <f>INPUT!$H$26</f>
        <v>90.095000000000013</v>
      </c>
      <c r="AC34" s="20">
        <f>$AC$17*E34</f>
        <v>2534.049</v>
      </c>
      <c r="AD34" s="20">
        <f>ROUND((($A$32*$AD$17*5)+($A$32*$AD$18*7))/12,2)</f>
        <v>3460.13</v>
      </c>
      <c r="AE34" s="20"/>
      <c r="AF34" s="20">
        <f>AB34+AC34+AD34</f>
        <v>6084.2739999999994</v>
      </c>
      <c r="AG34" s="20"/>
      <c r="AH34" s="20"/>
      <c r="AI34" s="19">
        <f>AF34-W34</f>
        <v>41.169999999999163</v>
      </c>
      <c r="AJ34" s="18">
        <f>AF34/W34-1</f>
        <v>6.8127240570408087E-3</v>
      </c>
    </row>
    <row r="35" spans="1:36" x14ac:dyDescent="0.2">
      <c r="A35" s="1"/>
      <c r="C35" s="13"/>
      <c r="E35" s="1"/>
      <c r="J35" s="5"/>
      <c r="P35" s="54"/>
      <c r="S35" s="7"/>
      <c r="T35" s="20"/>
      <c r="U35" s="20"/>
      <c r="V35" s="20"/>
      <c r="W35" s="20"/>
      <c r="X35" s="20"/>
      <c r="Y35" s="20"/>
      <c r="Z35" s="20"/>
      <c r="AA35" s="20"/>
      <c r="AB35" s="7"/>
      <c r="AC35" s="20"/>
      <c r="AD35" s="20"/>
      <c r="AE35" s="20"/>
      <c r="AF35" s="20"/>
      <c r="AG35" s="20"/>
      <c r="AH35" s="20"/>
      <c r="AI35" s="19"/>
      <c r="AJ35" s="18"/>
    </row>
    <row r="36" spans="1:36" x14ac:dyDescent="0.2">
      <c r="A36" s="1">
        <v>250</v>
      </c>
      <c r="C36" s="13">
        <v>0.3</v>
      </c>
      <c r="E36" s="1">
        <f>C36*($A$36*730)</f>
        <v>54750</v>
      </c>
      <c r="G36" s="29">
        <f>+W36</f>
        <v>7269.9500000000007</v>
      </c>
      <c r="H36" s="29">
        <f>+AF36</f>
        <v>7667.01</v>
      </c>
      <c r="I36" s="29">
        <f>+H36-G36</f>
        <v>397.05999999999949</v>
      </c>
      <c r="J36" s="54">
        <f>ROUND(+I36/G36,4)</f>
        <v>5.4600000000000003E-2</v>
      </c>
      <c r="K36" s="29">
        <f>ROUND($T$10*$E36,2)</f>
        <v>-30.99</v>
      </c>
      <c r="L36" s="29">
        <f>ROUND($T$11*$E36,2)</f>
        <v>1.19</v>
      </c>
      <c r="M36" s="29">
        <f>ROUND($T$12*$E36,2)</f>
        <v>105.27</v>
      </c>
      <c r="N36" s="29">
        <f>+G36+K36+L36+M36</f>
        <v>7345.420000000001</v>
      </c>
      <c r="O36" s="29">
        <f>+H36+K36+L36+M36</f>
        <v>7742.4800000000005</v>
      </c>
      <c r="P36" s="54">
        <f>(O36-N36)/N36</f>
        <v>5.4055452240988185E-2</v>
      </c>
      <c r="S36" s="7">
        <f>$S$20</f>
        <v>90</v>
      </c>
      <c r="T36" s="20">
        <f>$T$17*E36</f>
        <v>2056.4100000000003</v>
      </c>
      <c r="U36" s="20">
        <f>ROUND((($A$36*$U$17*5)+($A$36*$U$18*7))/12,2)</f>
        <v>5123.54</v>
      </c>
      <c r="V36" s="20"/>
      <c r="W36" s="20">
        <f>S36+T36+U36</f>
        <v>7269.9500000000007</v>
      </c>
      <c r="X36" s="20"/>
      <c r="Y36" s="20"/>
      <c r="Z36" s="20"/>
      <c r="AA36" s="20"/>
      <c r="AB36" s="7">
        <f>INPUT!$H$26</f>
        <v>90.095000000000013</v>
      </c>
      <c r="AC36" s="20">
        <f>$AC$17*E36</f>
        <v>1810.0349999999999</v>
      </c>
      <c r="AD36" s="20">
        <f>ROUND((($A$36*$AD$17*5)+($A$36*$AD$18*7))/12,2)</f>
        <v>5766.88</v>
      </c>
      <c r="AE36" s="20"/>
      <c r="AF36" s="20">
        <f>AB36+AC36+AD36</f>
        <v>7667.01</v>
      </c>
      <c r="AG36" s="20"/>
      <c r="AH36" s="20"/>
      <c r="AI36" s="19">
        <f>AF36-W36</f>
        <v>397.05999999999949</v>
      </c>
      <c r="AJ36" s="18">
        <f>AF36/W36-1</f>
        <v>5.4616606716689775E-2</v>
      </c>
    </row>
    <row r="37" spans="1:36" x14ac:dyDescent="0.2">
      <c r="A37" s="1"/>
      <c r="C37" s="13">
        <v>0.5</v>
      </c>
      <c r="E37" s="1">
        <f>C37*($A$36*730)</f>
        <v>91250</v>
      </c>
      <c r="G37" s="29">
        <f>+W37</f>
        <v>8640.89</v>
      </c>
      <c r="H37" s="29">
        <f>+AF37</f>
        <v>8873.7000000000007</v>
      </c>
      <c r="I37" s="29">
        <f>+H37-G37</f>
        <v>232.81000000000131</v>
      </c>
      <c r="J37" s="54">
        <f>ROUND(+I37/G37,4)</f>
        <v>2.69E-2</v>
      </c>
      <c r="K37" s="29">
        <f>ROUND($T$10*$E37,2)</f>
        <v>-51.66</v>
      </c>
      <c r="L37" s="29">
        <f>ROUND($T$11*$E37,2)</f>
        <v>1.98</v>
      </c>
      <c r="M37" s="29">
        <f>ROUND($T$12*$E37,2)</f>
        <v>175.45</v>
      </c>
      <c r="N37" s="29">
        <f>+G37+K37+L37+M37</f>
        <v>8766.66</v>
      </c>
      <c r="O37" s="29">
        <f>+H37+K37+L37+M37</f>
        <v>8999.4700000000012</v>
      </c>
      <c r="P37" s="54">
        <f>(O37-N37)/N37</f>
        <v>2.6556293959159052E-2</v>
      </c>
      <c r="S37" s="7">
        <f>$S$20</f>
        <v>90</v>
      </c>
      <c r="T37" s="20">
        <f>$T$17*E37</f>
        <v>3427.3500000000004</v>
      </c>
      <c r="U37" s="20">
        <f>ROUND((($A$36*$U$17*5)+($A$36*$U$18*7))/12,2)</f>
        <v>5123.54</v>
      </c>
      <c r="V37" s="20"/>
      <c r="W37" s="20">
        <f>S37+T37+U37</f>
        <v>8640.89</v>
      </c>
      <c r="X37" s="20"/>
      <c r="Y37" s="20"/>
      <c r="Z37" s="20"/>
      <c r="AA37" s="20"/>
      <c r="AB37" s="7">
        <f>INPUT!$H$26</f>
        <v>90.095000000000013</v>
      </c>
      <c r="AC37" s="20">
        <f>$AC$17*E37</f>
        <v>3016.7249999999999</v>
      </c>
      <c r="AD37" s="20">
        <f>ROUND((($A$36*$AD$17*5)+($A$36*$AD$18*7))/12,2)</f>
        <v>5766.88</v>
      </c>
      <c r="AE37" s="20"/>
      <c r="AF37" s="20">
        <f>AB37+AC37+AD37</f>
        <v>8873.7000000000007</v>
      </c>
      <c r="AG37" s="20"/>
      <c r="AH37" s="20"/>
      <c r="AI37" s="19">
        <f>AF37-W37</f>
        <v>232.81000000000131</v>
      </c>
      <c r="AJ37" s="18">
        <f>AF37/W37-1</f>
        <v>2.6942826491252791E-2</v>
      </c>
    </row>
    <row r="38" spans="1:36" x14ac:dyDescent="0.2">
      <c r="A38" s="1"/>
      <c r="C38" s="13">
        <v>0.7</v>
      </c>
      <c r="E38" s="1">
        <f>C38*($A$36*730)</f>
        <v>127749.99999999999</v>
      </c>
      <c r="G38" s="29">
        <f>+W38</f>
        <v>10011.83</v>
      </c>
      <c r="H38" s="29">
        <f>+AF38</f>
        <v>10080.39</v>
      </c>
      <c r="I38" s="29">
        <f>+H38-G38</f>
        <v>68.559999999999491</v>
      </c>
      <c r="J38" s="54">
        <f>ROUND(+I38/G38,4)</f>
        <v>6.7999999999999996E-3</v>
      </c>
      <c r="K38" s="29">
        <f>ROUND($T$10*$E38,2)</f>
        <v>-72.319999999999993</v>
      </c>
      <c r="L38" s="29">
        <f>ROUND($T$11*$E38,2)</f>
        <v>2.77</v>
      </c>
      <c r="M38" s="29">
        <f>ROUND($T$12*$E38,2)</f>
        <v>245.63</v>
      </c>
      <c r="N38" s="29">
        <f>+G38+K38+L38+M38</f>
        <v>10187.91</v>
      </c>
      <c r="O38" s="29">
        <f>+H38+K38+L38+M38</f>
        <v>10256.469999999999</v>
      </c>
      <c r="P38" s="54">
        <f>(O38-N38)/N38</f>
        <v>6.7295451176933732E-3</v>
      </c>
      <c r="S38" s="7">
        <f>$S$20</f>
        <v>90</v>
      </c>
      <c r="T38" s="20">
        <f>$T$17*E38</f>
        <v>4798.29</v>
      </c>
      <c r="U38" s="20">
        <f>ROUND((($A$36*$U$17*5)+($A$36*$U$18*7))/12,2)</f>
        <v>5123.54</v>
      </c>
      <c r="V38" s="20"/>
      <c r="W38" s="20">
        <f>S38+T38+U38</f>
        <v>10011.83</v>
      </c>
      <c r="X38" s="20"/>
      <c r="Y38" s="20"/>
      <c r="Z38" s="20"/>
      <c r="AA38" s="20"/>
      <c r="AB38" s="7">
        <f>INPUT!$H$26</f>
        <v>90.095000000000013</v>
      </c>
      <c r="AC38" s="20">
        <f>$AC$17*E38</f>
        <v>4223.4149999999991</v>
      </c>
      <c r="AD38" s="20">
        <f>ROUND((($A$36*$AD$17*5)+($A$36*$AD$18*7))/12,2)</f>
        <v>5766.88</v>
      </c>
      <c r="AE38" s="20"/>
      <c r="AF38" s="20">
        <f>AB38+AC38+AD38</f>
        <v>10080.39</v>
      </c>
      <c r="AG38" s="20"/>
      <c r="AH38" s="20"/>
      <c r="AI38" s="19">
        <f>AF38-W38</f>
        <v>68.559999999999491</v>
      </c>
      <c r="AJ38" s="18">
        <f>AF38/W38-1</f>
        <v>6.8478989355591491E-3</v>
      </c>
    </row>
    <row r="39" spans="1:36" x14ac:dyDescent="0.2">
      <c r="E39" s="1"/>
      <c r="L39" s="29"/>
      <c r="T39" s="20"/>
      <c r="U39" s="20"/>
      <c r="V39" s="20"/>
      <c r="W39" s="20"/>
      <c r="X39" s="20"/>
      <c r="Y39" s="20"/>
      <c r="Z39" s="20"/>
      <c r="AA39" s="20"/>
    </row>
    <row r="40" spans="1:36" x14ac:dyDescent="0.2">
      <c r="A40" s="17" t="s">
        <v>314</v>
      </c>
      <c r="E40" s="1"/>
      <c r="L40" s="29"/>
      <c r="T40" s="20"/>
      <c r="U40" s="20"/>
      <c r="V40" s="20"/>
      <c r="W40" s="20"/>
      <c r="X40" s="20"/>
      <c r="Y40" s="20"/>
      <c r="Z40" s="20"/>
      <c r="AA40" s="20"/>
    </row>
    <row r="41" spans="1:36" x14ac:dyDescent="0.2">
      <c r="A41" s="170" t="str">
        <f>("Average usage = "&amp;TEXT(INPUT!H20*1,"0,000")&amp;" kWh per month")</f>
        <v>Average usage = 50,066 kWh per month</v>
      </c>
      <c r="T41" s="20"/>
      <c r="U41" s="20"/>
      <c r="V41" s="20"/>
      <c r="W41" s="20"/>
      <c r="X41" s="20"/>
      <c r="Y41" s="20"/>
      <c r="Z41" s="20"/>
      <c r="AA41" s="20"/>
    </row>
    <row r="42" spans="1:36" x14ac:dyDescent="0.2">
      <c r="A42" s="172" t="s">
        <v>315</v>
      </c>
      <c r="E42" s="1"/>
      <c r="S42" s="7"/>
      <c r="T42" s="20"/>
      <c r="U42" s="12"/>
      <c r="W42" s="12"/>
      <c r="AA42" s="6"/>
      <c r="AC42" s="9"/>
    </row>
    <row r="43" spans="1:36" x14ac:dyDescent="0.2">
      <c r="A43" s="171" t="s">
        <v>316</v>
      </c>
      <c r="E43" s="1"/>
      <c r="S43" s="7"/>
      <c r="T43" s="20"/>
      <c r="U43" s="12"/>
      <c r="W43" s="12"/>
      <c r="AA43" s="6"/>
      <c r="AC43" s="9"/>
    </row>
    <row r="44" spans="1:36" x14ac:dyDescent="0.2">
      <c r="A44" s="172" t="str">
        <f>+'Rate Case Constants'!C26</f>
        <v>Calculations may vary from other schedules due to rounding</v>
      </c>
    </row>
    <row r="45" spans="1:36" x14ac:dyDescent="0.2">
      <c r="A45" s="46"/>
    </row>
  </sheetData>
  <mergeCells count="5">
    <mergeCell ref="K15:M15"/>
    <mergeCell ref="A1:P1"/>
    <mergeCell ref="A2:P2"/>
    <mergeCell ref="A3:P3"/>
    <mergeCell ref="A4:P4"/>
  </mergeCells>
  <phoneticPr fontId="5" type="noConversion"/>
  <printOptions horizontalCentered="1"/>
  <pageMargins left="0.75" right="0.75" top="1.5" bottom="0.5" header="1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Rate Case Constants</vt:lpstr>
      <vt:lpstr>INPUT</vt:lpstr>
      <vt:lpstr>SCHEDULES===&gt;</vt:lpstr>
      <vt:lpstr>Rate RS-VFD</vt:lpstr>
      <vt:lpstr>Rate RTOD Energy</vt:lpstr>
      <vt:lpstr>Rate RTOD Demand</vt:lpstr>
      <vt:lpstr>Rate GS Single Phase</vt:lpstr>
      <vt:lpstr>Rate GS Three Phase</vt:lpstr>
      <vt:lpstr>Rate PS Secondary</vt:lpstr>
      <vt:lpstr>Rate PS Primary</vt:lpstr>
      <vt:lpstr>Rate TOD Secondary</vt:lpstr>
      <vt:lpstr>Rate TOD Primary</vt:lpstr>
      <vt:lpstr>Rate RTS</vt:lpstr>
      <vt:lpstr>Rate FLS Transmission</vt:lpstr>
      <vt:lpstr>Rate FLS Primary</vt:lpstr>
      <vt:lpstr>Special Contract</vt:lpstr>
      <vt:lpstr>Rate LS-RLS</vt:lpstr>
      <vt:lpstr>Rate LE</vt:lpstr>
      <vt:lpstr>Rate TE</vt:lpstr>
      <vt:lpstr>OSL Secondary</vt:lpstr>
      <vt:lpstr>OSL Primary</vt:lpstr>
      <vt:lpstr>Rate EVC</vt:lpstr>
      <vt:lpstr>Rate PSA</vt:lpstr>
      <vt:lpstr>INPUT!Print_Area</vt:lpstr>
      <vt:lpstr>'OSL Primary'!Print_Area</vt:lpstr>
      <vt:lpstr>'OSL Secondary'!Print_Area</vt:lpstr>
      <vt:lpstr>'Rate EVC'!Print_Area</vt:lpstr>
      <vt:lpstr>'Rate FLS Primary'!Print_Area</vt:lpstr>
      <vt:lpstr>'Rate FLS Transmission'!Print_Area</vt:lpstr>
      <vt:lpstr>'Rate GS Single Phase'!Print_Area</vt:lpstr>
      <vt:lpstr>'Rate GS Three Phase'!Print_Area</vt:lpstr>
      <vt:lpstr>'Rate LE'!Print_Area</vt:lpstr>
      <vt:lpstr>'Rate LS-RLS'!Print_Area</vt:lpstr>
      <vt:lpstr>'Rate PS Primary'!Print_Area</vt:lpstr>
      <vt:lpstr>'Rate PS Secondary'!Print_Area</vt:lpstr>
      <vt:lpstr>'Rate PSA'!Print_Area</vt:lpstr>
      <vt:lpstr>'Rate RS-VFD'!Print_Area</vt:lpstr>
      <vt:lpstr>'Rate RTOD Demand'!Print_Area</vt:lpstr>
      <vt:lpstr>'Rate RTOD Energy'!Print_Area</vt:lpstr>
      <vt:lpstr>'Rate RTS'!Print_Area</vt:lpstr>
      <vt:lpstr>'Rate TE'!Print_Area</vt:lpstr>
      <vt:lpstr>'Rate TOD Primary'!Print_Area</vt:lpstr>
      <vt:lpstr>'Rate TOD Secondary'!Print_Area</vt:lpstr>
      <vt:lpstr>'Special Contract'!Print_Area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2018-10-10T12:58:32Z</dcterms:created>
  <dcterms:modified xsi:type="dcterms:W3CDTF">2018-10-10T12:58:42Z</dcterms:modified>
</cp:coreProperties>
</file>