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5200" windowHeight="12570" tabRatio="853"/>
  </bookViews>
  <sheets>
    <sheet name="Index" sheetId="80" r:id="rId1"/>
    <sheet name="Stipulation Sch M-2.1-G" sheetId="82" r:id="rId2"/>
    <sheet name="Stipulation Sch M-2.2-G" sheetId="81" r:id="rId3"/>
    <sheet name="Stipulation Sch M-2.3 Pg.1" sheetId="5" r:id="rId4"/>
    <sheet name="Stipulation Sch M-2.3 Pg. 2-11" sheetId="6" r:id="rId5"/>
  </sheets>
  <externalReferences>
    <externalReference r:id="rId6"/>
  </externalReferences>
  <definedNames>
    <definedName name="BNE_MESSAGES_HIDDEN" localSheetId="4" hidden="1">#REF!</definedName>
    <definedName name="BNE_MESSAGES_HIDDEN" hidden="1">#REF!</definedName>
    <definedName name="DolUnitFactor">[1]ListsValues!$M$29</definedName>
    <definedName name="_xlnm.Print_Area" localSheetId="0">Index!$A$1:$L$22</definedName>
    <definedName name="_xlnm.Print_Area" localSheetId="1">'Stipulation Sch M-2.1-G'!$A$1:$F$49</definedName>
    <definedName name="_xlnm.Print_Area" localSheetId="2">'Stipulation Sch M-2.2-G'!$A$1:$K$31</definedName>
    <definedName name="_xlnm.Print_Area" localSheetId="4">'Stipulation Sch M-2.3 Pg. 2-11'!$B$1:$L$290</definedName>
    <definedName name="_xlnm.Print_Area" localSheetId="3">'Stipulation Sch M-2.3 Pg.1'!$A$1:$H$42</definedName>
    <definedName name="_xlnm.Print_Titles" localSheetId="4">'Stipulation Sch M-2.3 Pg. 2-11'!$1:$14</definedName>
  </definedNames>
  <calcPr calcId="152511"/>
</workbook>
</file>

<file path=xl/calcChain.xml><?xml version="1.0" encoding="utf-8"?>
<calcChain xmlns="http://schemas.openxmlformats.org/spreadsheetml/2006/main">
  <c r="L7" i="6" l="1"/>
  <c r="G40" i="5" l="1"/>
  <c r="G39" i="5"/>
  <c r="G38" i="5"/>
  <c r="G37" i="5"/>
  <c r="F60" i="82" l="1"/>
  <c r="K278" i="6" l="1"/>
  <c r="K277" i="6"/>
  <c r="K274" i="6"/>
  <c r="K47" i="6" l="1"/>
  <c r="K63" i="6" s="1"/>
  <c r="K62" i="6"/>
  <c r="K60" i="6"/>
  <c r="K59" i="6"/>
  <c r="C40" i="82"/>
  <c r="A40" i="5" l="1"/>
  <c r="A39" i="5"/>
  <c r="A38" i="5"/>
  <c r="A37" i="5"/>
  <c r="B40" i="5" l="1"/>
  <c r="F40" i="5" s="1"/>
  <c r="B39" i="5"/>
  <c r="F39" i="5" s="1"/>
  <c r="B38" i="5"/>
  <c r="F38" i="5" s="1"/>
  <c r="C39" i="82" l="1"/>
  <c r="K260" i="6" l="1"/>
  <c r="L260" i="6" s="1"/>
  <c r="K255" i="6" l="1"/>
  <c r="K256" i="6"/>
  <c r="K257" i="6"/>
  <c r="B29" i="81"/>
  <c r="D29" i="81" s="1"/>
  <c r="C29" i="81"/>
  <c r="I260" i="6"/>
  <c r="B31" i="5" s="1"/>
  <c r="I256" i="6"/>
  <c r="I257" i="6"/>
  <c r="I255" i="6"/>
  <c r="L256" i="6" l="1"/>
  <c r="L257" i="6"/>
  <c r="F29" i="81"/>
  <c r="K29" i="81" s="1"/>
  <c r="I29" i="81"/>
  <c r="J29" i="81" l="1"/>
  <c r="K214" i="6"/>
  <c r="K213" i="6"/>
  <c r="K212" i="6"/>
  <c r="K211" i="6"/>
  <c r="B37" i="5" l="1"/>
  <c r="C42" i="82"/>
  <c r="C41" i="82"/>
  <c r="L217" i="6" l="1"/>
  <c r="L214" i="6" l="1"/>
  <c r="I214" i="6"/>
  <c r="L224" i="6"/>
  <c r="I224" i="6"/>
  <c r="L213" i="6" l="1"/>
  <c r="I213" i="6"/>
  <c r="I209" i="6" l="1"/>
  <c r="L209" i="6"/>
  <c r="L211" i="6"/>
  <c r="I211" i="6"/>
  <c r="A5" i="81" l="1"/>
  <c r="A4" i="81"/>
  <c r="A3" i="81"/>
  <c r="A2" i="81"/>
  <c r="A1" i="81"/>
  <c r="A5" i="5" l="1"/>
  <c r="B4" i="6"/>
  <c r="B3" i="6"/>
  <c r="B2" i="6"/>
  <c r="B1" i="6"/>
  <c r="A4" i="82"/>
  <c r="A3" i="82"/>
  <c r="A2" i="82"/>
  <c r="A1" i="82"/>
  <c r="A7" i="81"/>
  <c r="A8" i="81"/>
  <c r="K7" i="81"/>
  <c r="A9" i="81"/>
  <c r="A9" i="5"/>
  <c r="A8" i="5"/>
  <c r="A7" i="5"/>
  <c r="A4" i="5"/>
  <c r="A3" i="5"/>
  <c r="A2" i="5"/>
  <c r="A1" i="5"/>
  <c r="H8" i="5"/>
  <c r="H7" i="5"/>
  <c r="K87" i="6"/>
  <c r="K86" i="6"/>
  <c r="K100" i="6" l="1"/>
  <c r="K101" i="6"/>
  <c r="K157" i="6"/>
  <c r="K90" i="6"/>
  <c r="K276" i="6" l="1"/>
  <c r="L44" i="6"/>
  <c r="L43" i="6"/>
  <c r="L59" i="6"/>
  <c r="I57" i="6"/>
  <c r="L62" i="6"/>
  <c r="L278" i="6"/>
  <c r="L255" i="6" l="1"/>
  <c r="I278" i="6"/>
  <c r="B9" i="6"/>
  <c r="B8" i="6"/>
  <c r="B7" i="6"/>
  <c r="I98" i="6" l="1"/>
  <c r="L100" i="6"/>
  <c r="I63" i="6"/>
  <c r="L63" i="6"/>
  <c r="L60" i="6"/>
  <c r="I58" i="6"/>
  <c r="I66" i="6"/>
  <c r="B15" i="81"/>
  <c r="L157" i="6" l="1"/>
  <c r="I99" i="6" l="1"/>
  <c r="L101" i="6"/>
  <c r="I157" i="6"/>
  <c r="C15" i="81"/>
  <c r="L159" i="6"/>
  <c r="I103" i="6" l="1"/>
  <c r="L103" i="6"/>
  <c r="I104" i="6" l="1"/>
  <c r="L104" i="6"/>
  <c r="D40" i="82" l="1"/>
  <c r="F40" i="82" s="1"/>
  <c r="D41" i="82"/>
  <c r="F41" i="82" s="1"/>
  <c r="D42" i="82"/>
  <c r="F42" i="82" s="1"/>
  <c r="D39" i="82"/>
  <c r="F39" i="82" s="1"/>
  <c r="L203" i="6" l="1"/>
  <c r="I203" i="6" l="1"/>
  <c r="L164" i="6" l="1"/>
  <c r="F37" i="5" l="1"/>
  <c r="I55" i="6" l="1"/>
  <c r="L55" i="6"/>
  <c r="L64" i="6" s="1"/>
  <c r="C23" i="5"/>
  <c r="C31" i="81"/>
  <c r="D33" i="5" l="1"/>
  <c r="L284" i="6"/>
  <c r="C33" i="5"/>
  <c r="L283" i="6"/>
  <c r="L96" i="6"/>
  <c r="L105" i="6" s="1"/>
  <c r="I96" i="6"/>
  <c r="I105" i="6" s="1"/>
  <c r="I107" i="6" s="1"/>
  <c r="F31" i="81"/>
  <c r="K31" i="81" s="1"/>
  <c r="D31" i="81"/>
  <c r="I31" i="81"/>
  <c r="E23" i="5"/>
  <c r="L166" i="6"/>
  <c r="E25" i="5"/>
  <c r="L189" i="6"/>
  <c r="D25" i="5"/>
  <c r="L188" i="6"/>
  <c r="L277" i="6"/>
  <c r="I277" i="6"/>
  <c r="I169" i="6"/>
  <c r="L169" i="6"/>
  <c r="I145" i="6"/>
  <c r="L145" i="6"/>
  <c r="I114" i="6"/>
  <c r="L114" i="6"/>
  <c r="L73" i="6"/>
  <c r="I73" i="6"/>
  <c r="K281" i="6" l="1"/>
  <c r="L221" i="6" l="1"/>
  <c r="L70" i="6"/>
  <c r="L244" i="6"/>
  <c r="L165" i="6"/>
  <c r="E27" i="5" l="1"/>
  <c r="L264" i="6"/>
  <c r="E31" i="5"/>
  <c r="L263" i="6"/>
  <c r="D31" i="5"/>
  <c r="L285" i="6"/>
  <c r="E33" i="5"/>
  <c r="E29" i="5"/>
  <c r="D23" i="5"/>
  <c r="I217" i="6" l="1"/>
  <c r="L187" i="6" l="1"/>
  <c r="C25" i="5" l="1"/>
  <c r="L262" i="6"/>
  <c r="C31" i="5"/>
  <c r="F31" i="5" s="1"/>
  <c r="L135" i="6" l="1"/>
  <c r="C25" i="81"/>
  <c r="L87" i="6" l="1"/>
  <c r="L86" i="6"/>
  <c r="L258" i="6"/>
  <c r="L266" i="6" s="1"/>
  <c r="H29" i="81" s="1"/>
  <c r="C32" i="82" s="1"/>
  <c r="I258" i="6"/>
  <c r="I266" i="6" s="1"/>
  <c r="B17" i="81"/>
  <c r="I135" i="6"/>
  <c r="C19" i="81"/>
  <c r="I212" i="6"/>
  <c r="I215" i="6" s="1"/>
  <c r="L212" i="6"/>
  <c r="L215" i="6" s="1"/>
  <c r="C17" i="81"/>
  <c r="L111" i="6"/>
  <c r="B31" i="81"/>
  <c r="L182" i="6"/>
  <c r="I182" i="6"/>
  <c r="C23" i="81"/>
  <c r="L181" i="6"/>
  <c r="I181" i="6"/>
  <c r="L237" i="6"/>
  <c r="B27" i="81"/>
  <c r="B21" i="81"/>
  <c r="I155" i="6"/>
  <c r="L155" i="6"/>
  <c r="C21" i="81"/>
  <c r="L158" i="6"/>
  <c r="I158" i="6"/>
  <c r="L47" i="6"/>
  <c r="L202" i="6"/>
  <c r="I202" i="6"/>
  <c r="L200" i="6"/>
  <c r="L160" i="6" l="1"/>
  <c r="E29" i="81"/>
  <c r="B32" i="82" s="1"/>
  <c r="F32" i="82" s="1"/>
  <c r="L269" i="6"/>
  <c r="I237" i="6"/>
  <c r="I134" i="6"/>
  <c r="L134" i="6"/>
  <c r="E21" i="5"/>
  <c r="L142" i="6"/>
  <c r="I62" i="6"/>
  <c r="I64" i="6" s="1"/>
  <c r="C27" i="81"/>
  <c r="L268" i="6"/>
  <c r="I132" i="6"/>
  <c r="B19" i="81"/>
  <c r="E15" i="5"/>
  <c r="L29" i="6"/>
  <c r="L132" i="6"/>
  <c r="L46" i="6"/>
  <c r="I236" i="6"/>
  <c r="L274" i="6"/>
  <c r="I274" i="6"/>
  <c r="L236" i="6"/>
  <c r="L180" i="6"/>
  <c r="L183" i="6" s="1"/>
  <c r="I180" i="6"/>
  <c r="I183" i="6" s="1"/>
  <c r="B23" i="81"/>
  <c r="D23" i="81" s="1"/>
  <c r="L242" i="6"/>
  <c r="C29" i="5"/>
  <c r="D29" i="5"/>
  <c r="L243" i="6"/>
  <c r="K66" i="6"/>
  <c r="L66" i="6" s="1"/>
  <c r="K50" i="6"/>
  <c r="D21" i="81"/>
  <c r="I160" i="6"/>
  <c r="E19" i="5"/>
  <c r="L220" i="6"/>
  <c r="D27" i="5"/>
  <c r="L219" i="6"/>
  <c r="C27" i="5"/>
  <c r="L141" i="6"/>
  <c r="D21" i="5"/>
  <c r="L140" i="6"/>
  <c r="C21" i="5"/>
  <c r="L110" i="6"/>
  <c r="D19" i="5"/>
  <c r="L109" i="6"/>
  <c r="C19" i="5"/>
  <c r="L69" i="6"/>
  <c r="D17" i="5"/>
  <c r="L68" i="6"/>
  <c r="C17" i="5"/>
  <c r="E17" i="5"/>
  <c r="L28" i="6"/>
  <c r="D15" i="5"/>
  <c r="L27" i="6"/>
  <c r="C15" i="5"/>
  <c r="I235" i="6"/>
  <c r="L235" i="6"/>
  <c r="I276" i="6"/>
  <c r="L276" i="6"/>
  <c r="I200" i="6"/>
  <c r="I84" i="6"/>
  <c r="I90" i="6"/>
  <c r="L90" i="6"/>
  <c r="L89" i="6"/>
  <c r="I89" i="6"/>
  <c r="I41" i="6"/>
  <c r="I136" i="6" l="1"/>
  <c r="I138" i="6" s="1"/>
  <c r="I279" i="6"/>
  <c r="I281" i="6" s="1"/>
  <c r="I287" i="6" s="1"/>
  <c r="L136" i="6"/>
  <c r="L279" i="6"/>
  <c r="L281" i="6" s="1"/>
  <c r="L287" i="6" s="1"/>
  <c r="H31" i="81" s="1"/>
  <c r="C34" i="82" s="1"/>
  <c r="D32" i="82"/>
  <c r="H31" i="5"/>
  <c r="G31" i="5"/>
  <c r="G29" i="81"/>
  <c r="I238" i="6"/>
  <c r="L238" i="6"/>
  <c r="D27" i="81"/>
  <c r="E35" i="5"/>
  <c r="E42" i="5" s="1"/>
  <c r="C35" i="5"/>
  <c r="C42" i="5" s="1"/>
  <c r="D35" i="5"/>
  <c r="D42" i="5" s="1"/>
  <c r="B33" i="5" l="1"/>
  <c r="F33" i="5" s="1"/>
  <c r="L289" i="6"/>
  <c r="L290" i="6" s="1"/>
  <c r="E31" i="81"/>
  <c r="K206" i="6"/>
  <c r="J31" i="81" l="1"/>
  <c r="B34" i="82"/>
  <c r="H33" i="5"/>
  <c r="G31" i="81"/>
  <c r="G33" i="5"/>
  <c r="D34" i="82" l="1"/>
  <c r="F34" i="82"/>
  <c r="I162" i="6" l="1"/>
  <c r="I171" i="6" s="1"/>
  <c r="B23" i="5" l="1"/>
  <c r="F23" i="5" s="1"/>
  <c r="E21" i="81"/>
  <c r="K162" i="6"/>
  <c r="L162" i="6" s="1"/>
  <c r="L171" i="6" s="1"/>
  <c r="H21" i="81" l="1"/>
  <c r="F21" i="81"/>
  <c r="K93" i="6"/>
  <c r="K107" i="6"/>
  <c r="L107" i="6" s="1"/>
  <c r="L172" i="6" l="1"/>
  <c r="L173" i="6" s="1"/>
  <c r="H23" i="5" s="1"/>
  <c r="I21" i="81"/>
  <c r="J21" i="81" s="1"/>
  <c r="B24" i="82"/>
  <c r="K21" i="81" l="1"/>
  <c r="G23" i="5"/>
  <c r="G21" i="81" s="1"/>
  <c r="C24" i="82"/>
  <c r="D24" i="82" s="1"/>
  <c r="F24" i="82" s="1"/>
  <c r="B25" i="81" l="1"/>
  <c r="D25" i="81" s="1"/>
  <c r="L201" i="6" l="1"/>
  <c r="L204" i="6" s="1"/>
  <c r="L206" i="6" s="1"/>
  <c r="L226" i="6" s="1"/>
  <c r="H25" i="81" s="1"/>
  <c r="I201" i="6"/>
  <c r="I204" i="6" s="1"/>
  <c r="I206" i="6" s="1"/>
  <c r="B27" i="5" l="1"/>
  <c r="F27" i="5" s="1"/>
  <c r="I226" i="6"/>
  <c r="D15" i="81"/>
  <c r="I47" i="6"/>
  <c r="I46" i="6"/>
  <c r="L125" i="6"/>
  <c r="L228" i="6" l="1"/>
  <c r="E25" i="81"/>
  <c r="I42" i="6"/>
  <c r="C28" i="82"/>
  <c r="I25" i="81"/>
  <c r="L48" i="6"/>
  <c r="L50" i="6" s="1"/>
  <c r="L75" i="6" s="1"/>
  <c r="I85" i="6"/>
  <c r="I91" i="6" s="1"/>
  <c r="I93" i="6" s="1"/>
  <c r="B19" i="5" s="1"/>
  <c r="D17" i="81"/>
  <c r="L126" i="6"/>
  <c r="L127" i="6" s="1"/>
  <c r="I126" i="6"/>
  <c r="I125" i="6"/>
  <c r="I48" i="6" l="1"/>
  <c r="I50" i="6" s="1"/>
  <c r="L229" i="6"/>
  <c r="H27" i="5" s="1"/>
  <c r="G27" i="5"/>
  <c r="G25" i="81" s="1"/>
  <c r="B17" i="5"/>
  <c r="I75" i="6"/>
  <c r="I116" i="6"/>
  <c r="E17" i="81" s="1"/>
  <c r="F19" i="5"/>
  <c r="L91" i="6"/>
  <c r="L93" i="6" s="1"/>
  <c r="D19" i="81"/>
  <c r="I127" i="6"/>
  <c r="L116" i="6" l="1"/>
  <c r="H17" i="81" s="1"/>
  <c r="I17" i="81" l="1"/>
  <c r="C20" i="82"/>
  <c r="K185" i="6"/>
  <c r="L185" i="6" s="1"/>
  <c r="L191" i="6" s="1"/>
  <c r="I185" i="6"/>
  <c r="I191" i="6" l="1"/>
  <c r="E23" i="81" s="1"/>
  <c r="B25" i="5"/>
  <c r="F25" i="5" s="1"/>
  <c r="H23" i="81"/>
  <c r="I23" i="81" s="1"/>
  <c r="L193" i="6" l="1"/>
  <c r="G25" i="5" s="1"/>
  <c r="F23" i="81"/>
  <c r="B26" i="82"/>
  <c r="C26" i="82"/>
  <c r="L194" i="6" l="1"/>
  <c r="H25" i="5" s="1"/>
  <c r="D26" i="82"/>
  <c r="F26" i="82" s="1"/>
  <c r="J23" i="81"/>
  <c r="G23" i="81"/>
  <c r="K23" i="81" l="1"/>
  <c r="K129" i="6"/>
  <c r="L129" i="6" s="1"/>
  <c r="K138" i="6" l="1"/>
  <c r="L138" i="6" s="1"/>
  <c r="I129" i="6"/>
  <c r="B21" i="5" s="1"/>
  <c r="L147" i="6" l="1"/>
  <c r="H19" i="81" s="1"/>
  <c r="I147" i="6"/>
  <c r="F21" i="5"/>
  <c r="C22" i="82" l="1"/>
  <c r="I19" i="81"/>
  <c r="E19" i="81"/>
  <c r="B22" i="82" s="1"/>
  <c r="L149" i="6"/>
  <c r="G21" i="5" s="1"/>
  <c r="E15" i="81" l="1"/>
  <c r="F15" i="81" s="1"/>
  <c r="F17" i="5"/>
  <c r="F19" i="81"/>
  <c r="J19" i="81" s="1"/>
  <c r="L150" i="6"/>
  <c r="H21" i="5" s="1"/>
  <c r="D22" i="82"/>
  <c r="F22" i="82" s="1"/>
  <c r="G19" i="81"/>
  <c r="K19" i="81" l="1"/>
  <c r="B18" i="82"/>
  <c r="F25" i="81" l="1"/>
  <c r="B28" i="82"/>
  <c r="J25" i="81" l="1"/>
  <c r="D28" i="82"/>
  <c r="F28" i="82" s="1"/>
  <c r="K25" i="81" l="1"/>
  <c r="B20" i="82"/>
  <c r="F17" i="81"/>
  <c r="J17" i="81" s="1"/>
  <c r="L118" i="6"/>
  <c r="L119" i="6" s="1"/>
  <c r="H19" i="5" s="1"/>
  <c r="K17" i="81" l="1"/>
  <c r="D20" i="82"/>
  <c r="G19" i="5"/>
  <c r="F20" i="82" l="1"/>
  <c r="G17" i="81"/>
  <c r="L77" i="6" l="1"/>
  <c r="L78" i="6" s="1"/>
  <c r="H17" i="5" s="1"/>
  <c r="H15" i="81"/>
  <c r="I15" i="81" s="1"/>
  <c r="J15" i="81" s="1"/>
  <c r="K15" i="81" l="1"/>
  <c r="G17" i="5"/>
  <c r="G15" i="81" s="1"/>
  <c r="C18" i="82"/>
  <c r="D18" i="82" l="1"/>
  <c r="F18" i="82" l="1"/>
  <c r="K240" i="6" l="1"/>
  <c r="L240" i="6" s="1"/>
  <c r="L246" i="6" s="1"/>
  <c r="I240" i="6"/>
  <c r="I246" i="6" l="1"/>
  <c r="B29" i="5"/>
  <c r="F29" i="5" s="1"/>
  <c r="H27" i="81"/>
  <c r="E27" i="81" l="1"/>
  <c r="F27" i="81" s="1"/>
  <c r="L248" i="6"/>
  <c r="I27" i="81"/>
  <c r="C30" i="82"/>
  <c r="B30" i="82" l="1"/>
  <c r="D30" i="82" s="1"/>
  <c r="F30" i="82" s="1"/>
  <c r="L249" i="6"/>
  <c r="H29" i="5" s="1"/>
  <c r="G29" i="5"/>
  <c r="G27" i="81"/>
  <c r="J27" i="81"/>
  <c r="K27" i="81" l="1"/>
  <c r="K25" i="6"/>
  <c r="I22" i="6"/>
  <c r="I20" i="6" l="1"/>
  <c r="I23" i="6" s="1"/>
  <c r="I25" i="6" s="1"/>
  <c r="L21" i="6"/>
  <c r="B13" i="81"/>
  <c r="L22" i="6"/>
  <c r="C13" i="81"/>
  <c r="B15" i="5" l="1"/>
  <c r="B35" i="5" s="1"/>
  <c r="B42" i="5" s="1"/>
  <c r="I31" i="6"/>
  <c r="L23" i="6"/>
  <c r="L25" i="6" s="1"/>
  <c r="D13" i="81"/>
  <c r="E13" i="81" l="1"/>
  <c r="F15" i="5"/>
  <c r="L31" i="6"/>
  <c r="H13" i="81" l="1"/>
  <c r="I13" i="81" s="1"/>
  <c r="B16" i="82"/>
  <c r="F13" i="81"/>
  <c r="F35" i="5"/>
  <c r="F42" i="5" s="1"/>
  <c r="L33" i="6"/>
  <c r="B36" i="82" l="1"/>
  <c r="C16" i="82"/>
  <c r="D16" i="82" s="1"/>
  <c r="D36" i="82" s="1"/>
  <c r="D52" i="82" s="1"/>
  <c r="G15" i="5"/>
  <c r="G13" i="81" s="1"/>
  <c r="J13" i="81"/>
  <c r="L34" i="6"/>
  <c r="H15" i="5" s="1"/>
  <c r="B44" i="82" l="1"/>
  <c r="C36" i="82"/>
  <c r="C44" i="82" s="1"/>
  <c r="K13" i="81"/>
  <c r="G35" i="5"/>
  <c r="G42" i="5" s="1"/>
  <c r="H42" i="5" s="1"/>
  <c r="F16" i="82"/>
  <c r="D44" i="82"/>
  <c r="F36" i="82"/>
  <c r="H35" i="5" l="1"/>
  <c r="F44" i="82"/>
</calcChain>
</file>

<file path=xl/comments1.xml><?xml version="1.0" encoding="utf-8"?>
<comments xmlns="http://schemas.openxmlformats.org/spreadsheetml/2006/main">
  <authors>
    <author>Author</author>
  </authors>
  <commentList>
    <comment ref="C39" authorId="0" shapeId="0">
      <text>
        <r>
          <rPr>
            <b/>
            <sz val="9"/>
            <color indexed="81"/>
            <rFont val="Tahoma"/>
            <family val="2"/>
          </rPr>
          <t>Author:</t>
        </r>
        <r>
          <rPr>
            <sz val="9"/>
            <color indexed="81"/>
            <rFont val="Tahoma"/>
            <family val="2"/>
          </rPr>
          <t xml:space="preserve">
Adj for change in LPC policy
</t>
        </r>
      </text>
    </comment>
    <comment ref="C40" authorId="0" shapeId="0">
      <text>
        <r>
          <rPr>
            <b/>
            <sz val="9"/>
            <color indexed="81"/>
            <rFont val="Tahoma"/>
            <family val="2"/>
          </rPr>
          <t>Author:</t>
        </r>
        <r>
          <rPr>
            <sz val="9"/>
            <color indexed="81"/>
            <rFont val="Tahoma"/>
            <family val="2"/>
          </rPr>
          <t xml:space="preserve">
Adj for reduction in returned check fee</t>
        </r>
      </text>
    </comment>
  </commentList>
</comments>
</file>

<file path=xl/sharedStrings.xml><?xml version="1.0" encoding="utf-8"?>
<sst xmlns="http://schemas.openxmlformats.org/spreadsheetml/2006/main" count="345" uniqueCount="178">
  <si>
    <t>Distribution Charge</t>
  </si>
  <si>
    <t>FT</t>
  </si>
  <si>
    <t>CGS</t>
  </si>
  <si>
    <t>IGS</t>
  </si>
  <si>
    <t>RGS</t>
  </si>
  <si>
    <t>MCF</t>
  </si>
  <si>
    <t>Revenue</t>
  </si>
  <si>
    <t>Rate Class</t>
  </si>
  <si>
    <t>GSC</t>
  </si>
  <si>
    <t>DSM</t>
  </si>
  <si>
    <t>Total</t>
  </si>
  <si>
    <t>LOUISVILLE GAS AND ELECTRIC COMPANY</t>
  </si>
  <si>
    <t>TOTAL</t>
  </si>
  <si>
    <t>Demand Charge</t>
  </si>
  <si>
    <t>As Available Gas Service (AAGS)</t>
  </si>
  <si>
    <t>Calculated</t>
  </si>
  <si>
    <t>RATE CGS:</t>
  </si>
  <si>
    <t>Administrative Charges</t>
  </si>
  <si>
    <t>RATE IGS:</t>
  </si>
  <si>
    <t xml:space="preserve">         Total Rate IGS</t>
  </si>
  <si>
    <t xml:space="preserve">         Total Rate AAGS</t>
  </si>
  <si>
    <t>RATE FT:</t>
  </si>
  <si>
    <t>AAGS</t>
  </si>
  <si>
    <t>INTRA-COMPANY SPECIAL CONTRACTS</t>
  </si>
  <si>
    <t>Base Rate</t>
  </si>
  <si>
    <t>Subtotal</t>
  </si>
  <si>
    <t>Administrative Charge</t>
  </si>
  <si>
    <t>Increase</t>
  </si>
  <si>
    <t>Special Contract - Intra-Company Sales</t>
  </si>
  <si>
    <t>Total Sales to Ultimate Consumers and Inter-Company</t>
  </si>
  <si>
    <t>Current</t>
  </si>
  <si>
    <t>Change</t>
  </si>
  <si>
    <t>Other Gas Revenue</t>
  </si>
  <si>
    <t>Miscellaneous Service Revenue</t>
  </si>
  <si>
    <t>Subtotal Sales to Ultimate Consumers and Inter-Company</t>
  </si>
  <si>
    <t>Gas Line Tracker</t>
  </si>
  <si>
    <t>TYPE OF FILING: __X__ ORIGINAL  _____ UPDATED  _____ REVISED</t>
  </si>
  <si>
    <t>WORK PAPER REFERENCE NO(S):</t>
  </si>
  <si>
    <t>Gas Supply Clause</t>
  </si>
  <si>
    <t>Demand-Side Management</t>
  </si>
  <si>
    <t>Total Intra-Company Special Contract - Sales Customer</t>
  </si>
  <si>
    <t>Intra-Company Special Contract - Sales Customer</t>
  </si>
  <si>
    <t xml:space="preserve">GLT </t>
  </si>
  <si>
    <t>SCHEDULE M</t>
  </si>
  <si>
    <t>BASE PERIOD:</t>
  </si>
  <si>
    <t>FORECASTED PERIOD:</t>
  </si>
  <si>
    <t>SCHEDULE</t>
  </si>
  <si>
    <t>DESCRIPTION</t>
  </si>
  <si>
    <t>Page 1</t>
  </si>
  <si>
    <t>Total Revenue at Present Rates</t>
  </si>
  <si>
    <t>Commercial Gas Service (CGS)</t>
  </si>
  <si>
    <t>Industrial Gas Service (IGS)</t>
  </si>
  <si>
    <t>Special Contract Intra-Company Sales</t>
  </si>
  <si>
    <t>Firm Transportation (FT)</t>
  </si>
  <si>
    <t>Distributed Generation Gas Service (DGGS)</t>
  </si>
  <si>
    <t>Customer Months</t>
  </si>
  <si>
    <t>Annual Revenue at Current Rates</t>
  </si>
  <si>
    <t>Average Current Bill</t>
  </si>
  <si>
    <t>DGGS</t>
  </si>
  <si>
    <t>AAGS TS-2</t>
  </si>
  <si>
    <t>AAGS TS-2-PM</t>
  </si>
  <si>
    <t>BILLING DETERMINANTS AND EXHIBITS FOR THE FORECASTED PERIOD</t>
  </si>
  <si>
    <t>M-2.1-G</t>
  </si>
  <si>
    <t>M-2.2-G</t>
  </si>
  <si>
    <t>M-2.3-G</t>
  </si>
  <si>
    <t>DATA:  ____ BASE PERIOD  __X__  FORECAST PERIOD</t>
  </si>
  <si>
    <t>RATE DGGS</t>
  </si>
  <si>
    <t>Pool Manager Fee</t>
  </si>
  <si>
    <t>Witness:  W. S. SEELYE</t>
  </si>
  <si>
    <t>Average Consumption-Mcf</t>
  </si>
  <si>
    <t>Revenue Increase</t>
  </si>
  <si>
    <t>Annual Revenue at Proposed Rates</t>
  </si>
  <si>
    <t>Average Proposed Bill</t>
  </si>
  <si>
    <t>Change in Average Bill</t>
  </si>
  <si>
    <t>Percentage Change in Average Bill</t>
  </si>
  <si>
    <t>Change in Total Revenue</t>
  </si>
  <si>
    <t>Percent Change in Total Revenue</t>
  </si>
  <si>
    <t>Forecasted Mcf</t>
  </si>
  <si>
    <t>Percentage</t>
  </si>
  <si>
    <t xml:space="preserve">Unit </t>
  </si>
  <si>
    <t>Charges</t>
  </si>
  <si>
    <t>Proposed Increase in Revenue</t>
  </si>
  <si>
    <t>Rider PS-FT</t>
  </si>
  <si>
    <t xml:space="preserve">Rider PS-TS-2 </t>
  </si>
  <si>
    <t>SUBTOTAL</t>
  </si>
  <si>
    <t>Other Operating Revenues:</t>
  </si>
  <si>
    <t>Rent from Gas Property</t>
  </si>
  <si>
    <t>Subtotal after application of Correction Factor</t>
  </si>
  <si>
    <t>IGS TS-2</t>
  </si>
  <si>
    <t>MC</t>
  </si>
  <si>
    <t>CGS TS-2</t>
  </si>
  <si>
    <t>Forecast Period Revenues at Current and Proposed Gas Rates</t>
  </si>
  <si>
    <t>Average Bill Comparison at Current and Proposed Gas Rates</t>
  </si>
  <si>
    <t>Summary of Proposed Gas Revenue Increase</t>
  </si>
  <si>
    <t>Calculation of Proposed Gas Rate Increase</t>
  </si>
  <si>
    <t>Gas Operations</t>
  </si>
  <si>
    <t>RATE LGDS</t>
  </si>
  <si>
    <t>LGDS</t>
  </si>
  <si>
    <t xml:space="preserve">CGS TS-2-PM </t>
  </si>
  <si>
    <t>FT-PM</t>
  </si>
  <si>
    <t>IGS TS-2-PM</t>
  </si>
  <si>
    <t>SGSS-C</t>
  </si>
  <si>
    <t>SGSS-I</t>
  </si>
  <si>
    <t>Off-Peak MCF</t>
  </si>
  <si>
    <t>Present Rates</t>
  </si>
  <si>
    <t>Calculated Revenue @ Present Rates</t>
  </si>
  <si>
    <t>Distribution Cost Component</t>
  </si>
  <si>
    <t>Correction Factor=</t>
  </si>
  <si>
    <t xml:space="preserve">   On Peak Mcf</t>
  </si>
  <si>
    <t xml:space="preserve">   Off Peak Mcf</t>
  </si>
  <si>
    <t>Total Rate FT</t>
  </si>
  <si>
    <t>Total Rate CGS</t>
  </si>
  <si>
    <t>Correction Factor =</t>
  </si>
  <si>
    <t>DGGS TS-2</t>
  </si>
  <si>
    <t>For the 12 Months Ended December 31, 2018</t>
  </si>
  <si>
    <t>FT-C</t>
  </si>
  <si>
    <t>For the 12 Months Ended April 30, 2020</t>
  </si>
  <si>
    <t>Customer Months for the 12-Month Period</t>
  </si>
  <si>
    <t xml:space="preserve">         Total Rate DGGS</t>
  </si>
  <si>
    <t>DGGS TS-2-PM</t>
  </si>
  <si>
    <t xml:space="preserve">         Total Rate SGSS</t>
  </si>
  <si>
    <t xml:space="preserve">         Total Rate LGDS</t>
  </si>
  <si>
    <r>
      <t>RATE AAGS:</t>
    </r>
    <r>
      <rPr>
        <sz val="12"/>
        <rFont val="Calibri"/>
        <family val="2"/>
        <scheme val="minor"/>
      </rPr>
      <t xml:space="preserve">  </t>
    </r>
  </si>
  <si>
    <t>Residential Gas Service (RGS) and Volunteer Fire Department (VFD)</t>
  </si>
  <si>
    <t>RATE SGSS-C</t>
  </si>
  <si>
    <t>RATE SGSS-I</t>
  </si>
  <si>
    <t xml:space="preserve"> Substitute Gas Sales Service (SGSS) - Commercial</t>
  </si>
  <si>
    <t xml:space="preserve"> Substitute Gas Sales Service (SGSS) - Industrial</t>
  </si>
  <si>
    <t>Substitute Gas Sales Service-Commercial (SGSS)</t>
  </si>
  <si>
    <t>Substitute Gas Sales Service-Industrial (SGSS)</t>
  </si>
  <si>
    <t>Local Gas Delivery Service (LGDS)</t>
  </si>
  <si>
    <t>Customer Months/Days</t>
  </si>
  <si>
    <t>Monthly Basic Service Charge</t>
  </si>
  <si>
    <t>Daily Basic Service Charge</t>
  </si>
  <si>
    <t>Monthly Basic Service Charge (meters &lt; 5000 cfh)</t>
  </si>
  <si>
    <t>Monthly Basic Service Charge (meters 5000 cfh or &gt;)</t>
  </si>
  <si>
    <t>Daily Basic Service Charge (meters &lt; 5000 cfh)</t>
  </si>
  <si>
    <t>Daily Basic Service Charge (meters 5000 cfh or &gt;)</t>
  </si>
  <si>
    <t>RATE RGS and VFD:</t>
  </si>
  <si>
    <t>Residential Gas Service Rate (RGS) and Volunteer Fire Dept (VFD)</t>
  </si>
  <si>
    <t>Total Rate RGS and VFD</t>
  </si>
  <si>
    <t>CASE NO. 2018-00295</t>
  </si>
  <si>
    <t>Firm Commercial Gas Service Rate (CGS)</t>
  </si>
  <si>
    <t>Gas Transporation Service Rider TS-2 to Rate (CGS)</t>
  </si>
  <si>
    <t>Firm Industrial Gas Service Rate (IGS)</t>
  </si>
  <si>
    <t>Gas Transportation Service Rider TS-2 to Rate (IGS)</t>
  </si>
  <si>
    <t>As Available Gas Service Rate (AAGS)</t>
  </si>
  <si>
    <t xml:space="preserve">Gas Transporation Service Rider TS-2 to Rate (AAGS) </t>
  </si>
  <si>
    <t>Firm Transportation Service (Non-Standby) Rate (FT)</t>
  </si>
  <si>
    <t>Distributed Generation Gas Service Rate (DGGS)</t>
  </si>
  <si>
    <t>Gas Transporation Service Rider TS-2 to Rate (DGGS)</t>
  </si>
  <si>
    <t>Substitute Gas Sales Service - Commercial - Rate (SGSS)</t>
  </si>
  <si>
    <t>Substitute Gas Sales Service - Industrial - Rate (SGSS)</t>
  </si>
  <si>
    <t>Local Gas Delivery Service - Rate (LGDS)</t>
  </si>
  <si>
    <t>Residential Gas Service  and Volunteer Fire Dept - Rate (RGS) and (VFD)</t>
  </si>
  <si>
    <t>Commercial Gas Service - Rate (CGS)</t>
  </si>
  <si>
    <t>Industrial Gas Service - Rate (IGS)</t>
  </si>
  <si>
    <t>As-Available Gas Service - Rate (AAGS)</t>
  </si>
  <si>
    <t>Firm Transportation Service (Non-Standby) - Rate (FT)</t>
  </si>
  <si>
    <t>Distributed Generation Gas Service - Rate (DGGS)</t>
  </si>
  <si>
    <t>Late Payment Charges</t>
  </si>
  <si>
    <t>Proposed Increase</t>
  </si>
  <si>
    <t>Excl Misc Rev</t>
  </si>
  <si>
    <t xml:space="preserve"> Page 1 of 1 </t>
  </si>
  <si>
    <t xml:space="preserve"> Page 1 of 11</t>
  </si>
  <si>
    <t xml:space="preserve"> Page 7 of 11</t>
  </si>
  <si>
    <t>Misc Revenue Adjs. Summary</t>
  </si>
  <si>
    <t>Excess Facilities</t>
  </si>
  <si>
    <t>Meter Pulse Charge</t>
  </si>
  <si>
    <t>Returned Check Fee</t>
  </si>
  <si>
    <t>Late Payment Charge</t>
  </si>
  <si>
    <t>EVSE-R</t>
  </si>
  <si>
    <t>Pages 2-11</t>
  </si>
  <si>
    <t>1/</t>
  </si>
  <si>
    <r>
      <rPr>
        <u val="singleAccounting"/>
        <sz val="12"/>
        <rFont val="Calibri"/>
        <family val="2"/>
        <scheme val="minor"/>
      </rPr>
      <t>1</t>
    </r>
    <r>
      <rPr>
        <sz val="12"/>
        <rFont val="Calibri"/>
        <family val="2"/>
        <scheme val="minor"/>
      </rPr>
      <t>/ An adjustment was made to the settlement revenue requirement to remove this revenue reduction.  Because the adjustment reflected in the settlement revenue requirements instead of other operating revenue, this adjusment must remain to avoid double removal of the amount.</t>
    </r>
  </si>
  <si>
    <t>Total Revenue at Stipulated Rates</t>
  </si>
  <si>
    <t>Stipulation Exhibit 5</t>
  </si>
  <si>
    <t>Stipulated Rates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</si>
</sst>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409]mmm\-yy;@"/>
    <numFmt numFmtId="168" formatCode="_(&quot;$&quot;* #,##0.00000_);_(&quot;$&quot;* \(#,##0.00000\);_(&quot;$&quot;* &quot;-&quot;??_);_(@_)"/>
    <numFmt numFmtId="172" formatCode="[$-409]mmmm\-yy;@"/>
    <numFmt numFmtId="173" formatCode="_(* #,##0.0_);_(* \(#,##0.0\);_(* &quot;-&quot;??_);_(@_)"/>
    <numFmt numFmtId="174" formatCode="General_)"/>
    <numFmt numFmtId="175" formatCode="#,##0.0_);\(#,##0.0\)"/>
    <numFmt numFmtId="177" formatCode="_(&quot;$&quot;* #,##0.0000_);_(&quot;$&quot;* \(#,##0.0000\);_(&quot;$&quot;* &quot;-&quot;??_);_(@_)"/>
    <numFmt numFmtId="178" formatCode="&quot;$&quot;#,##0\ ;\(&quot;$&quot;#,##0\)"/>
    <numFmt numFmtId="179" formatCode="_([$€-2]* #,##0.00_);_([$€-2]* \(#,##0.00\);_([$€-2]* &quot;-&quot;??_)"/>
    <numFmt numFmtId="180" formatCode="0_);\(0\)"/>
    <numFmt numFmtId="181" formatCode="_(&quot;$&quot;* #,##0.000_);_(&quot;$&quot;* \(#,##0.000\);_(&quot;$&quot;* &quot;-&quot;?????_);_(@_)"/>
    <numFmt numFmtId="187" formatCode="0.000000"/>
    <numFmt numFmtId="189" formatCode="0.0000"/>
    <numFmt numFmtId="190" formatCode="_(&quot;$&quot;* #,##0.0_);_(&quot;$&quot;* \(#,##0.0\);_(&quot;$&quot;* &quot;-&quot;??_);_(@_)"/>
    <numFmt numFmtId="191" formatCode="_(&quot;$&quot;* #,##0.00000000000_);_(&quot;$&quot;* \(#,##0.00000000000\);_(&quot;$&quot;* &quot;-&quot;??_);_(@_)"/>
  </numFmts>
  <fonts count="72" x14ac:knownFonts="1">
    <font>
      <sz val="11"/>
      <color theme="1"/>
      <name val="Calibri"/>
      <family val="2"/>
      <scheme val="minor"/>
    </font>
    <font>
      <b/>
      <sz val="10"/>
      <name val="Arial"/>
      <family val="2"/>
    </font>
    <font>
      <sz val="8"/>
      <name val="Arial"/>
      <family val="2"/>
    </font>
    <font>
      <sz val="10"/>
      <name val="Arial"/>
      <family val="2"/>
    </font>
    <font>
      <sz val="11"/>
      <color theme="1"/>
      <name val="Calibri"/>
      <family val="2"/>
      <scheme val="minor"/>
    </font>
    <font>
      <sz val="10"/>
      <name val="Calibri"/>
      <family val="2"/>
      <scheme val="minor"/>
    </font>
    <font>
      <sz val="9"/>
      <color theme="1"/>
      <name val="Times New Roman"/>
      <family val="2"/>
    </font>
    <font>
      <sz val="10"/>
      <name val="Times New Roman"/>
      <family val="1"/>
    </font>
    <font>
      <b/>
      <sz val="10"/>
      <color indexed="8"/>
      <name val="Arial"/>
      <family val="2"/>
    </font>
    <font>
      <sz val="10"/>
      <name val="Courier"/>
      <family val="3"/>
    </font>
    <font>
      <b/>
      <sz val="14"/>
      <name val="Arial"/>
      <family val="2"/>
    </font>
    <font>
      <sz val="10"/>
      <color indexed="8"/>
      <name val="Arial"/>
      <family val="2"/>
    </font>
    <font>
      <b/>
      <sz val="18"/>
      <color theme="3"/>
      <name val="Cambria"/>
      <family val="2"/>
      <scheme val="major"/>
    </font>
    <font>
      <sz val="12"/>
      <name val="Times New Roman"/>
      <family val="1"/>
    </font>
    <font>
      <sz val="11"/>
      <color indexed="8"/>
      <name val="Calibri"/>
      <family val="2"/>
    </font>
    <font>
      <sz val="11"/>
      <color theme="1"/>
      <name val="Times New Roman"/>
      <family val="2"/>
    </font>
    <font>
      <sz val="11"/>
      <color indexed="9"/>
      <name val="Calibri"/>
      <family val="2"/>
    </font>
    <font>
      <sz val="11"/>
      <color theme="0"/>
      <name val="Times New Roman"/>
      <family val="2"/>
    </font>
    <font>
      <sz val="11"/>
      <color indexed="20"/>
      <name val="Calibri"/>
      <family val="2"/>
    </font>
    <font>
      <sz val="11"/>
      <color rgb="FF9C0006"/>
      <name val="Times New Roman"/>
      <family val="2"/>
    </font>
    <font>
      <b/>
      <sz val="11"/>
      <color indexed="52"/>
      <name val="Calibri"/>
      <family val="2"/>
    </font>
    <font>
      <b/>
      <sz val="11"/>
      <color rgb="FFFA7D00"/>
      <name val="Times New Roman"/>
      <family val="2"/>
    </font>
    <font>
      <b/>
      <sz val="11"/>
      <color indexed="9"/>
      <name val="Calibri"/>
      <family val="2"/>
    </font>
    <font>
      <b/>
      <sz val="11"/>
      <color theme="0"/>
      <name val="Times New Roman"/>
      <family val="2"/>
    </font>
    <font>
      <i/>
      <sz val="11"/>
      <color indexed="23"/>
      <name val="Calibri"/>
      <family val="2"/>
    </font>
    <font>
      <i/>
      <sz val="11"/>
      <color rgb="FF7F7F7F"/>
      <name val="Times New Roman"/>
      <family val="2"/>
    </font>
    <font>
      <sz val="6"/>
      <name val="Arial"/>
      <family val="2"/>
    </font>
    <font>
      <sz val="11"/>
      <color indexed="17"/>
      <name val="Calibri"/>
      <family val="2"/>
    </font>
    <font>
      <sz val="11"/>
      <color rgb="FF006100"/>
      <name val="Times New Roman"/>
      <family val="2"/>
    </font>
    <font>
      <b/>
      <sz val="15"/>
      <color indexed="56"/>
      <name val="Calibri"/>
      <family val="2"/>
    </font>
    <font>
      <b/>
      <sz val="15"/>
      <color theme="3"/>
      <name val="Times New Roman"/>
      <family val="2"/>
    </font>
    <font>
      <b/>
      <sz val="13"/>
      <color indexed="56"/>
      <name val="Calibri"/>
      <family val="2"/>
    </font>
    <font>
      <b/>
      <sz val="13"/>
      <color theme="3"/>
      <name val="Times New Roman"/>
      <family val="2"/>
    </font>
    <font>
      <b/>
      <sz val="11"/>
      <color indexed="56"/>
      <name val="Calibri"/>
      <family val="2"/>
    </font>
    <font>
      <b/>
      <sz val="11"/>
      <color theme="3"/>
      <name val="Times New Roman"/>
      <family val="2"/>
    </font>
    <font>
      <sz val="11"/>
      <color indexed="62"/>
      <name val="Calibri"/>
      <family val="2"/>
    </font>
    <font>
      <sz val="11"/>
      <color rgb="FF3F3F76"/>
      <name val="Times New Roman"/>
      <family val="2"/>
    </font>
    <font>
      <sz val="11"/>
      <color indexed="52"/>
      <name val="Calibri"/>
      <family val="2"/>
    </font>
    <font>
      <sz val="11"/>
      <color rgb="FFFA7D00"/>
      <name val="Times New Roman"/>
      <family val="2"/>
    </font>
    <font>
      <sz val="11"/>
      <color indexed="60"/>
      <name val="Calibri"/>
      <family val="2"/>
    </font>
    <font>
      <sz val="11"/>
      <color rgb="FF9C6500"/>
      <name val="Times New Roman"/>
      <family val="2"/>
    </font>
    <font>
      <sz val="10"/>
      <name val="MS Sans Serif"/>
      <family val="2"/>
    </font>
    <font>
      <sz val="11"/>
      <color indexed="8"/>
      <name val="Times New Roman"/>
      <family val="2"/>
    </font>
    <font>
      <b/>
      <sz val="11"/>
      <color indexed="63"/>
      <name val="Calibri"/>
      <family val="2"/>
    </font>
    <font>
      <b/>
      <sz val="11"/>
      <color rgb="FF3F3F3F"/>
      <name val="Times New Roman"/>
      <family val="2"/>
    </font>
    <font>
      <b/>
      <i/>
      <sz val="10"/>
      <color indexed="8"/>
      <name val="Arial"/>
      <family val="2"/>
    </font>
    <font>
      <b/>
      <i/>
      <sz val="22"/>
      <color indexed="8"/>
      <name val="Times New Roman"/>
      <family val="1"/>
    </font>
    <font>
      <b/>
      <sz val="18"/>
      <color indexed="56"/>
      <name val="Cambria"/>
      <family val="2"/>
    </font>
    <font>
      <b/>
      <sz val="11"/>
      <color indexed="8"/>
      <name val="Calibri"/>
      <family val="2"/>
    </font>
    <font>
      <b/>
      <sz val="11"/>
      <color theme="1"/>
      <name val="Times New Roman"/>
      <family val="2"/>
    </font>
    <font>
      <sz val="11"/>
      <color indexed="10"/>
      <name val="Calibri"/>
      <family val="2"/>
    </font>
    <font>
      <sz val="11"/>
      <color rgb="FFFF0000"/>
      <name val="Times New Roman"/>
      <family val="2"/>
    </font>
    <font>
      <b/>
      <sz val="11"/>
      <color theme="1"/>
      <name val="Calibri"/>
      <family val="2"/>
      <scheme val="minor"/>
    </font>
    <font>
      <sz val="12"/>
      <color theme="1"/>
      <name val="Calibri"/>
      <family val="2"/>
      <scheme val="minor"/>
    </font>
    <font>
      <sz val="9"/>
      <color indexed="81"/>
      <name val="Tahoma"/>
      <family val="2"/>
    </font>
    <font>
      <b/>
      <sz val="9"/>
      <color indexed="81"/>
      <name val="Tahoma"/>
      <family val="2"/>
    </font>
    <font>
      <b/>
      <sz val="10"/>
      <color theme="1"/>
      <name val="Calibri"/>
      <family val="2"/>
      <scheme val="minor"/>
    </font>
    <font>
      <b/>
      <sz val="12"/>
      <color theme="1"/>
      <name val="Calibri"/>
      <family val="2"/>
      <scheme val="minor"/>
    </font>
    <font>
      <b/>
      <sz val="11"/>
      <color rgb="FF0070C0"/>
      <name val="Calibri"/>
      <family val="2"/>
      <scheme val="minor"/>
    </font>
    <font>
      <b/>
      <u/>
      <sz val="11"/>
      <color theme="1"/>
      <name val="Calibri"/>
      <family val="2"/>
      <scheme val="minor"/>
    </font>
    <font>
      <b/>
      <sz val="12"/>
      <name val="Calibri"/>
      <family val="2"/>
      <scheme val="minor"/>
    </font>
    <font>
      <sz val="12"/>
      <name val="Calibri"/>
      <family val="2"/>
      <scheme val="minor"/>
    </font>
    <font>
      <b/>
      <u/>
      <sz val="12"/>
      <name val="Calibri"/>
      <family val="2"/>
      <scheme val="minor"/>
    </font>
    <font>
      <u/>
      <sz val="12"/>
      <name val="Calibri"/>
      <family val="2"/>
      <scheme val="minor"/>
    </font>
    <font>
      <sz val="12"/>
      <color indexed="10"/>
      <name val="Calibri"/>
      <family val="2"/>
      <scheme val="minor"/>
    </font>
    <font>
      <sz val="12"/>
      <color rgb="FFFF0000"/>
      <name val="Calibri"/>
      <family val="2"/>
      <scheme val="minor"/>
    </font>
    <font>
      <u val="singleAccounting"/>
      <sz val="12"/>
      <color theme="1"/>
      <name val="Calibri"/>
      <family val="2"/>
      <scheme val="minor"/>
    </font>
    <font>
      <u/>
      <sz val="12"/>
      <color theme="1"/>
      <name val="Calibri"/>
      <family val="2"/>
      <scheme val="minor"/>
    </font>
    <font>
      <u val="doubleAccounting"/>
      <sz val="12"/>
      <color theme="1"/>
      <name val="Calibri"/>
      <family val="2"/>
      <scheme val="minor"/>
    </font>
    <font>
      <u val="singleAccounting"/>
      <sz val="12"/>
      <name val="Calibri"/>
      <family val="2"/>
      <scheme val="minor"/>
    </font>
    <font>
      <u val="doubleAccounting"/>
      <sz val="12"/>
      <name val="Calibri"/>
      <family val="2"/>
      <scheme val="minor"/>
    </font>
    <font>
      <sz val="12"/>
      <color rgb="FF0070C0"/>
      <name val="Calibri"/>
      <family val="2"/>
      <scheme val="minor"/>
    </font>
  </fonts>
  <fills count="58">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00FF"/>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49">
    <xf numFmtId="0" fontId="0" fillId="0" borderId="0"/>
    <xf numFmtId="43" fontId="3"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9" fontId="3" fillId="0" borderId="0" applyFont="0" applyFill="0" applyBorder="0" applyAlignment="0" applyProtection="0"/>
    <xf numFmtId="43" fontId="6" fillId="0" borderId="0" applyFont="0" applyFill="0" applyBorder="0" applyAlignment="0" applyProtection="0"/>
    <xf numFmtId="9" fontId="4" fillId="0" borderId="0" applyFont="0" applyFill="0" applyBorder="0" applyAlignment="0" applyProtection="0"/>
    <xf numFmtId="174" fontId="9" fillId="0" borderId="0"/>
    <xf numFmtId="0" fontId="3" fillId="0" borderId="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166" fontId="15" fillId="11" borderId="0" applyNumberFormat="0" applyBorder="0" applyAlignment="0" applyProtection="0"/>
    <xf numFmtId="166" fontId="15" fillId="11" borderId="0" applyNumberFormat="0" applyBorder="0" applyAlignment="0" applyProtection="0"/>
    <xf numFmtId="172" fontId="14" fillId="34" borderId="0" applyNumberFormat="0" applyBorder="0" applyAlignment="0" applyProtection="0"/>
    <xf numFmtId="172" fontId="14" fillId="34" borderId="0" applyNumberFormat="0" applyBorder="0" applyAlignment="0" applyProtection="0"/>
    <xf numFmtId="172" fontId="14" fillId="34" borderId="0" applyNumberFormat="0" applyBorder="0" applyAlignment="0" applyProtection="0"/>
    <xf numFmtId="172" fontId="14" fillId="34" borderId="0" applyNumberFormat="0" applyBorder="0" applyAlignment="0" applyProtection="0"/>
    <xf numFmtId="172" fontId="14" fillId="34" borderId="0" applyNumberFormat="0" applyBorder="0" applyAlignment="0" applyProtection="0"/>
    <xf numFmtId="172" fontId="14" fillId="34" borderId="0" applyNumberFormat="0" applyBorder="0" applyAlignment="0" applyProtection="0"/>
    <xf numFmtId="172" fontId="14" fillId="34"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166" fontId="15" fillId="15" borderId="0" applyNumberFormat="0" applyBorder="0" applyAlignment="0" applyProtection="0"/>
    <xf numFmtId="166" fontId="15" fillId="15" borderId="0" applyNumberFormat="0" applyBorder="0" applyAlignment="0" applyProtection="0"/>
    <xf numFmtId="172" fontId="14" fillId="35" borderId="0" applyNumberFormat="0" applyBorder="0" applyAlignment="0" applyProtection="0"/>
    <xf numFmtId="172" fontId="14" fillId="35" borderId="0" applyNumberFormat="0" applyBorder="0" applyAlignment="0" applyProtection="0"/>
    <xf numFmtId="172" fontId="14" fillId="35" borderId="0" applyNumberFormat="0" applyBorder="0" applyAlignment="0" applyProtection="0"/>
    <xf numFmtId="172" fontId="14" fillId="35" borderId="0" applyNumberFormat="0" applyBorder="0" applyAlignment="0" applyProtection="0"/>
    <xf numFmtId="172" fontId="14" fillId="35" borderId="0" applyNumberFormat="0" applyBorder="0" applyAlignment="0" applyProtection="0"/>
    <xf numFmtId="172" fontId="14" fillId="35" borderId="0" applyNumberFormat="0" applyBorder="0" applyAlignment="0" applyProtection="0"/>
    <xf numFmtId="172" fontId="14" fillId="35"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166" fontId="15" fillId="19" borderId="0" applyNumberFormat="0" applyBorder="0" applyAlignment="0" applyProtection="0"/>
    <xf numFmtId="166" fontId="15" fillId="19" borderId="0" applyNumberFormat="0" applyBorder="0" applyAlignment="0" applyProtection="0"/>
    <xf numFmtId="172" fontId="14" fillId="36" borderId="0" applyNumberFormat="0" applyBorder="0" applyAlignment="0" applyProtection="0"/>
    <xf numFmtId="172" fontId="14" fillId="36" borderId="0" applyNumberFormat="0" applyBorder="0" applyAlignment="0" applyProtection="0"/>
    <xf numFmtId="172" fontId="14" fillId="36" borderId="0" applyNumberFormat="0" applyBorder="0" applyAlignment="0" applyProtection="0"/>
    <xf numFmtId="172" fontId="14" fillId="36" borderId="0" applyNumberFormat="0" applyBorder="0" applyAlignment="0" applyProtection="0"/>
    <xf numFmtId="172" fontId="14" fillId="36" borderId="0" applyNumberFormat="0" applyBorder="0" applyAlignment="0" applyProtection="0"/>
    <xf numFmtId="172" fontId="14" fillId="36" borderId="0" applyNumberFormat="0" applyBorder="0" applyAlignment="0" applyProtection="0"/>
    <xf numFmtId="172" fontId="14" fillId="36"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166" fontId="15" fillId="23" borderId="0" applyNumberFormat="0" applyBorder="0" applyAlignment="0" applyProtection="0"/>
    <xf numFmtId="166" fontId="15" fillId="23" borderId="0" applyNumberFormat="0" applyBorder="0" applyAlignment="0" applyProtection="0"/>
    <xf numFmtId="172" fontId="14" fillId="37" borderId="0" applyNumberFormat="0" applyBorder="0" applyAlignment="0" applyProtection="0"/>
    <xf numFmtId="172" fontId="14" fillId="37" borderId="0" applyNumberFormat="0" applyBorder="0" applyAlignment="0" applyProtection="0"/>
    <xf numFmtId="172" fontId="14" fillId="37" borderId="0" applyNumberFormat="0" applyBorder="0" applyAlignment="0" applyProtection="0"/>
    <xf numFmtId="172" fontId="14" fillId="37" borderId="0" applyNumberFormat="0" applyBorder="0" applyAlignment="0" applyProtection="0"/>
    <xf numFmtId="172" fontId="14" fillId="37" borderId="0" applyNumberFormat="0" applyBorder="0" applyAlignment="0" applyProtection="0"/>
    <xf numFmtId="172" fontId="14" fillId="37" borderId="0" applyNumberFormat="0" applyBorder="0" applyAlignment="0" applyProtection="0"/>
    <xf numFmtId="172" fontId="14"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166" fontId="15" fillId="27" borderId="0" applyNumberFormat="0" applyBorder="0" applyAlignment="0" applyProtection="0"/>
    <xf numFmtId="166" fontId="15" fillId="27" borderId="0" applyNumberFormat="0" applyBorder="0" applyAlignment="0" applyProtection="0"/>
    <xf numFmtId="172" fontId="14" fillId="38" borderId="0" applyNumberFormat="0" applyBorder="0" applyAlignment="0" applyProtection="0"/>
    <xf numFmtId="172" fontId="14" fillId="38" borderId="0" applyNumberFormat="0" applyBorder="0" applyAlignment="0" applyProtection="0"/>
    <xf numFmtId="172" fontId="14" fillId="38" borderId="0" applyNumberFormat="0" applyBorder="0" applyAlignment="0" applyProtection="0"/>
    <xf numFmtId="172" fontId="14" fillId="38" borderId="0" applyNumberFormat="0" applyBorder="0" applyAlignment="0" applyProtection="0"/>
    <xf numFmtId="172" fontId="14" fillId="38" borderId="0" applyNumberFormat="0" applyBorder="0" applyAlignment="0" applyProtection="0"/>
    <xf numFmtId="172" fontId="14" fillId="38" borderId="0" applyNumberFormat="0" applyBorder="0" applyAlignment="0" applyProtection="0"/>
    <xf numFmtId="172" fontId="14"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6" fontId="15" fillId="31" borderId="0" applyNumberFormat="0" applyBorder="0" applyAlignment="0" applyProtection="0"/>
    <xf numFmtId="166" fontId="15" fillId="31" borderId="0" applyNumberFormat="0" applyBorder="0" applyAlignment="0" applyProtection="0"/>
    <xf numFmtId="172" fontId="14" fillId="39" borderId="0" applyNumberFormat="0" applyBorder="0" applyAlignment="0" applyProtection="0"/>
    <xf numFmtId="172" fontId="14" fillId="39" borderId="0" applyNumberFormat="0" applyBorder="0" applyAlignment="0" applyProtection="0"/>
    <xf numFmtId="172" fontId="14" fillId="39" borderId="0" applyNumberFormat="0" applyBorder="0" applyAlignment="0" applyProtection="0"/>
    <xf numFmtId="172" fontId="14" fillId="39" borderId="0" applyNumberFormat="0" applyBorder="0" applyAlignment="0" applyProtection="0"/>
    <xf numFmtId="172" fontId="14" fillId="39" borderId="0" applyNumberFormat="0" applyBorder="0" applyAlignment="0" applyProtection="0"/>
    <xf numFmtId="172" fontId="14" fillId="39" borderId="0" applyNumberFormat="0" applyBorder="0" applyAlignment="0" applyProtection="0"/>
    <xf numFmtId="172" fontId="14"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166" fontId="15" fillId="12" borderId="0" applyNumberFormat="0" applyBorder="0" applyAlignment="0" applyProtection="0"/>
    <xf numFmtId="166" fontId="15" fillId="12" borderId="0" applyNumberFormat="0" applyBorder="0" applyAlignment="0" applyProtection="0"/>
    <xf numFmtId="172" fontId="14" fillId="40" borderId="0" applyNumberFormat="0" applyBorder="0" applyAlignment="0" applyProtection="0"/>
    <xf numFmtId="172" fontId="14" fillId="40" borderId="0" applyNumberFormat="0" applyBorder="0" applyAlignment="0" applyProtection="0"/>
    <xf numFmtId="172" fontId="14" fillId="40" borderId="0" applyNumberFormat="0" applyBorder="0" applyAlignment="0" applyProtection="0"/>
    <xf numFmtId="172" fontId="14" fillId="40" borderId="0" applyNumberFormat="0" applyBorder="0" applyAlignment="0" applyProtection="0"/>
    <xf numFmtId="172" fontId="14" fillId="40" borderId="0" applyNumberFormat="0" applyBorder="0" applyAlignment="0" applyProtection="0"/>
    <xf numFmtId="172" fontId="14" fillId="40" borderId="0" applyNumberFormat="0" applyBorder="0" applyAlignment="0" applyProtection="0"/>
    <xf numFmtId="172" fontId="14"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166" fontId="15" fillId="16" borderId="0" applyNumberFormat="0" applyBorder="0" applyAlignment="0" applyProtection="0"/>
    <xf numFmtId="166" fontId="15" fillId="16" borderId="0" applyNumberFormat="0" applyBorder="0" applyAlignment="0" applyProtection="0"/>
    <xf numFmtId="172" fontId="14" fillId="41" borderId="0" applyNumberFormat="0" applyBorder="0" applyAlignment="0" applyProtection="0"/>
    <xf numFmtId="172" fontId="14" fillId="41" borderId="0" applyNumberFormat="0" applyBorder="0" applyAlignment="0" applyProtection="0"/>
    <xf numFmtId="172" fontId="14" fillId="41" borderId="0" applyNumberFormat="0" applyBorder="0" applyAlignment="0" applyProtection="0"/>
    <xf numFmtId="172" fontId="14" fillId="41" borderId="0" applyNumberFormat="0" applyBorder="0" applyAlignment="0" applyProtection="0"/>
    <xf numFmtId="172" fontId="14" fillId="41" borderId="0" applyNumberFormat="0" applyBorder="0" applyAlignment="0" applyProtection="0"/>
    <xf numFmtId="172" fontId="14" fillId="41" borderId="0" applyNumberFormat="0" applyBorder="0" applyAlignment="0" applyProtection="0"/>
    <xf numFmtId="172" fontId="14"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166" fontId="15" fillId="20" borderId="0" applyNumberFormat="0" applyBorder="0" applyAlignment="0" applyProtection="0"/>
    <xf numFmtId="166" fontId="15" fillId="20" borderId="0" applyNumberFormat="0" applyBorder="0" applyAlignment="0" applyProtection="0"/>
    <xf numFmtId="172" fontId="14" fillId="42" borderId="0" applyNumberFormat="0" applyBorder="0" applyAlignment="0" applyProtection="0"/>
    <xf numFmtId="172" fontId="14" fillId="42" borderId="0" applyNumberFormat="0" applyBorder="0" applyAlignment="0" applyProtection="0"/>
    <xf numFmtId="172" fontId="14" fillId="42" borderId="0" applyNumberFormat="0" applyBorder="0" applyAlignment="0" applyProtection="0"/>
    <xf numFmtId="172" fontId="14" fillId="42" borderId="0" applyNumberFormat="0" applyBorder="0" applyAlignment="0" applyProtection="0"/>
    <xf numFmtId="172" fontId="14" fillId="42" borderId="0" applyNumberFormat="0" applyBorder="0" applyAlignment="0" applyProtection="0"/>
    <xf numFmtId="172" fontId="14" fillId="42" borderId="0" applyNumberFormat="0" applyBorder="0" applyAlignment="0" applyProtection="0"/>
    <xf numFmtId="172" fontId="14" fillId="42" borderId="0" applyNumberFormat="0" applyBorder="0" applyAlignment="0" applyProtection="0"/>
    <xf numFmtId="0" fontId="14" fillId="42"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166" fontId="15" fillId="24" borderId="0" applyNumberFormat="0" applyBorder="0" applyAlignment="0" applyProtection="0"/>
    <xf numFmtId="166" fontId="15" fillId="24" borderId="0" applyNumberFormat="0" applyBorder="0" applyAlignment="0" applyProtection="0"/>
    <xf numFmtId="172" fontId="14" fillId="37" borderId="0" applyNumberFormat="0" applyBorder="0" applyAlignment="0" applyProtection="0"/>
    <xf numFmtId="172" fontId="14" fillId="37" borderId="0" applyNumberFormat="0" applyBorder="0" applyAlignment="0" applyProtection="0"/>
    <xf numFmtId="172" fontId="14" fillId="37" borderId="0" applyNumberFormat="0" applyBorder="0" applyAlignment="0" applyProtection="0"/>
    <xf numFmtId="172" fontId="14" fillId="37" borderId="0" applyNumberFormat="0" applyBorder="0" applyAlignment="0" applyProtection="0"/>
    <xf numFmtId="172" fontId="14" fillId="37" borderId="0" applyNumberFormat="0" applyBorder="0" applyAlignment="0" applyProtection="0"/>
    <xf numFmtId="172" fontId="14" fillId="37" borderId="0" applyNumberFormat="0" applyBorder="0" applyAlignment="0" applyProtection="0"/>
    <xf numFmtId="172" fontId="14" fillId="37" borderId="0" applyNumberFormat="0" applyBorder="0" applyAlignment="0" applyProtection="0"/>
    <xf numFmtId="0" fontId="14" fillId="37"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166" fontId="15" fillId="28" borderId="0" applyNumberFormat="0" applyBorder="0" applyAlignment="0" applyProtection="0"/>
    <xf numFmtId="166" fontId="15" fillId="28" borderId="0" applyNumberFormat="0" applyBorder="0" applyAlignment="0" applyProtection="0"/>
    <xf numFmtId="172" fontId="14" fillId="40" borderId="0" applyNumberFormat="0" applyBorder="0" applyAlignment="0" applyProtection="0"/>
    <xf numFmtId="172" fontId="14" fillId="40" borderId="0" applyNumberFormat="0" applyBorder="0" applyAlignment="0" applyProtection="0"/>
    <xf numFmtId="172" fontId="14" fillId="40" borderId="0" applyNumberFormat="0" applyBorder="0" applyAlignment="0" applyProtection="0"/>
    <xf numFmtId="172" fontId="14" fillId="40" borderId="0" applyNumberFormat="0" applyBorder="0" applyAlignment="0" applyProtection="0"/>
    <xf numFmtId="172" fontId="14" fillId="40" borderId="0" applyNumberFormat="0" applyBorder="0" applyAlignment="0" applyProtection="0"/>
    <xf numFmtId="172" fontId="14" fillId="40" borderId="0" applyNumberFormat="0" applyBorder="0" applyAlignment="0" applyProtection="0"/>
    <xf numFmtId="172" fontId="14"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166" fontId="15" fillId="32" borderId="0" applyNumberFormat="0" applyBorder="0" applyAlignment="0" applyProtection="0"/>
    <xf numFmtId="166" fontId="15" fillId="32" borderId="0" applyNumberFormat="0" applyBorder="0" applyAlignment="0" applyProtection="0"/>
    <xf numFmtId="172" fontId="14" fillId="43" borderId="0" applyNumberFormat="0" applyBorder="0" applyAlignment="0" applyProtection="0"/>
    <xf numFmtId="172" fontId="14" fillId="43" borderId="0" applyNumberFormat="0" applyBorder="0" applyAlignment="0" applyProtection="0"/>
    <xf numFmtId="172" fontId="14" fillId="43" borderId="0" applyNumberFormat="0" applyBorder="0" applyAlignment="0" applyProtection="0"/>
    <xf numFmtId="172" fontId="14" fillId="43" borderId="0" applyNumberFormat="0" applyBorder="0" applyAlignment="0" applyProtection="0"/>
    <xf numFmtId="172" fontId="14" fillId="43" borderId="0" applyNumberFormat="0" applyBorder="0" applyAlignment="0" applyProtection="0"/>
    <xf numFmtId="172" fontId="14" fillId="43" borderId="0" applyNumberFormat="0" applyBorder="0" applyAlignment="0" applyProtection="0"/>
    <xf numFmtId="172" fontId="14" fillId="43" borderId="0" applyNumberFormat="0" applyBorder="0" applyAlignment="0" applyProtection="0"/>
    <xf numFmtId="0" fontId="14" fillId="43"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166" fontId="17" fillId="13" borderId="0" applyNumberFormat="0" applyBorder="0" applyAlignment="0" applyProtection="0"/>
    <xf numFmtId="166" fontId="17" fillId="13" borderId="0" applyNumberFormat="0" applyBorder="0" applyAlignment="0" applyProtection="0"/>
    <xf numFmtId="172" fontId="16" fillId="44" borderId="0" applyNumberFormat="0" applyBorder="0" applyAlignment="0" applyProtection="0"/>
    <xf numFmtId="172" fontId="16" fillId="44" borderId="0" applyNumberFormat="0" applyBorder="0" applyAlignment="0" applyProtection="0"/>
    <xf numFmtId="172" fontId="16" fillId="44" borderId="0" applyNumberFormat="0" applyBorder="0" applyAlignment="0" applyProtection="0"/>
    <xf numFmtId="172" fontId="16" fillId="44" borderId="0" applyNumberFormat="0" applyBorder="0" applyAlignment="0" applyProtection="0"/>
    <xf numFmtId="172" fontId="16" fillId="44" borderId="0" applyNumberFormat="0" applyBorder="0" applyAlignment="0" applyProtection="0"/>
    <xf numFmtId="172" fontId="16" fillId="44" borderId="0" applyNumberFormat="0" applyBorder="0" applyAlignment="0" applyProtection="0"/>
    <xf numFmtId="172" fontId="16" fillId="44" borderId="0" applyNumberFormat="0" applyBorder="0" applyAlignment="0" applyProtection="0"/>
    <xf numFmtId="0" fontId="16" fillId="44"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166" fontId="17" fillId="17" borderId="0" applyNumberFormat="0" applyBorder="0" applyAlignment="0" applyProtection="0"/>
    <xf numFmtId="166" fontId="17" fillId="17" borderId="0" applyNumberFormat="0" applyBorder="0" applyAlignment="0" applyProtection="0"/>
    <xf numFmtId="172" fontId="16" fillId="41" borderId="0" applyNumberFormat="0" applyBorder="0" applyAlignment="0" applyProtection="0"/>
    <xf numFmtId="172" fontId="16" fillId="41" borderId="0" applyNumberFormat="0" applyBorder="0" applyAlignment="0" applyProtection="0"/>
    <xf numFmtId="172" fontId="16" fillId="41" borderId="0" applyNumberFormat="0" applyBorder="0" applyAlignment="0" applyProtection="0"/>
    <xf numFmtId="172" fontId="16" fillId="41" borderId="0" applyNumberFormat="0" applyBorder="0" applyAlignment="0" applyProtection="0"/>
    <xf numFmtId="172" fontId="16" fillId="41" borderId="0" applyNumberFormat="0" applyBorder="0" applyAlignment="0" applyProtection="0"/>
    <xf numFmtId="172" fontId="16" fillId="41" borderId="0" applyNumberFormat="0" applyBorder="0" applyAlignment="0" applyProtection="0"/>
    <xf numFmtId="172" fontId="16" fillId="41" borderId="0" applyNumberFormat="0" applyBorder="0" applyAlignment="0" applyProtection="0"/>
    <xf numFmtId="0" fontId="16" fillId="41"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166" fontId="17" fillId="21" borderId="0" applyNumberFormat="0" applyBorder="0" applyAlignment="0" applyProtection="0"/>
    <xf numFmtId="166" fontId="17" fillId="21" borderId="0" applyNumberFormat="0" applyBorder="0" applyAlignment="0" applyProtection="0"/>
    <xf numFmtId="172" fontId="16" fillId="42" borderId="0" applyNumberFormat="0" applyBorder="0" applyAlignment="0" applyProtection="0"/>
    <xf numFmtId="172" fontId="16" fillId="42" borderId="0" applyNumberFormat="0" applyBorder="0" applyAlignment="0" applyProtection="0"/>
    <xf numFmtId="172" fontId="16" fillId="42" borderId="0" applyNumberFormat="0" applyBorder="0" applyAlignment="0" applyProtection="0"/>
    <xf numFmtId="172" fontId="16" fillId="42" borderId="0" applyNumberFormat="0" applyBorder="0" applyAlignment="0" applyProtection="0"/>
    <xf numFmtId="172" fontId="16" fillId="42" borderId="0" applyNumberFormat="0" applyBorder="0" applyAlignment="0" applyProtection="0"/>
    <xf numFmtId="172" fontId="16" fillId="42" borderId="0" applyNumberFormat="0" applyBorder="0" applyAlignment="0" applyProtection="0"/>
    <xf numFmtId="172" fontId="16" fillId="42" borderId="0" applyNumberFormat="0" applyBorder="0" applyAlignment="0" applyProtection="0"/>
    <xf numFmtId="0" fontId="16" fillId="42"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166" fontId="17" fillId="25" borderId="0" applyNumberFormat="0" applyBorder="0" applyAlignment="0" applyProtection="0"/>
    <xf numFmtId="166" fontId="17" fillId="25" borderId="0" applyNumberFormat="0" applyBorder="0" applyAlignment="0" applyProtection="0"/>
    <xf numFmtId="172" fontId="16" fillId="45" borderId="0" applyNumberFormat="0" applyBorder="0" applyAlignment="0" applyProtection="0"/>
    <xf numFmtId="172" fontId="16" fillId="45" borderId="0" applyNumberFormat="0" applyBorder="0" applyAlignment="0" applyProtection="0"/>
    <xf numFmtId="172" fontId="16" fillId="45" borderId="0" applyNumberFormat="0" applyBorder="0" applyAlignment="0" applyProtection="0"/>
    <xf numFmtId="172" fontId="16" fillId="45" borderId="0" applyNumberFormat="0" applyBorder="0" applyAlignment="0" applyProtection="0"/>
    <xf numFmtId="172" fontId="16" fillId="45" borderId="0" applyNumberFormat="0" applyBorder="0" applyAlignment="0" applyProtection="0"/>
    <xf numFmtId="172" fontId="16" fillId="45" borderId="0" applyNumberFormat="0" applyBorder="0" applyAlignment="0" applyProtection="0"/>
    <xf numFmtId="172" fontId="16" fillId="45" borderId="0" applyNumberFormat="0" applyBorder="0" applyAlignment="0" applyProtection="0"/>
    <xf numFmtId="0" fontId="16" fillId="45"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166" fontId="17" fillId="29" borderId="0" applyNumberFormat="0" applyBorder="0" applyAlignment="0" applyProtection="0"/>
    <xf numFmtId="166" fontId="17" fillId="29" borderId="0" applyNumberFormat="0" applyBorder="0" applyAlignment="0" applyProtection="0"/>
    <xf numFmtId="172" fontId="16" fillId="46" borderId="0" applyNumberFormat="0" applyBorder="0" applyAlignment="0" applyProtection="0"/>
    <xf numFmtId="172" fontId="16" fillId="46" borderId="0" applyNumberFormat="0" applyBorder="0" applyAlignment="0" applyProtection="0"/>
    <xf numFmtId="172" fontId="16" fillId="46" borderId="0" applyNumberFormat="0" applyBorder="0" applyAlignment="0" applyProtection="0"/>
    <xf numFmtId="172" fontId="16" fillId="46" borderId="0" applyNumberFormat="0" applyBorder="0" applyAlignment="0" applyProtection="0"/>
    <xf numFmtId="172" fontId="16" fillId="46" borderId="0" applyNumberFormat="0" applyBorder="0" applyAlignment="0" applyProtection="0"/>
    <xf numFmtId="172" fontId="16" fillId="46" borderId="0" applyNumberFormat="0" applyBorder="0" applyAlignment="0" applyProtection="0"/>
    <xf numFmtId="172" fontId="16" fillId="46"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166" fontId="17" fillId="33" borderId="0" applyNumberFormat="0" applyBorder="0" applyAlignment="0" applyProtection="0"/>
    <xf numFmtId="166" fontId="17" fillId="33" borderId="0" applyNumberFormat="0" applyBorder="0" applyAlignment="0" applyProtection="0"/>
    <xf numFmtId="172" fontId="16" fillId="47" borderId="0" applyNumberFormat="0" applyBorder="0" applyAlignment="0" applyProtection="0"/>
    <xf numFmtId="172" fontId="16" fillId="47" borderId="0" applyNumberFormat="0" applyBorder="0" applyAlignment="0" applyProtection="0"/>
    <xf numFmtId="172" fontId="16" fillId="47" borderId="0" applyNumberFormat="0" applyBorder="0" applyAlignment="0" applyProtection="0"/>
    <xf numFmtId="172" fontId="16" fillId="47" borderId="0" applyNumberFormat="0" applyBorder="0" applyAlignment="0" applyProtection="0"/>
    <xf numFmtId="172" fontId="16" fillId="47" borderId="0" applyNumberFormat="0" applyBorder="0" applyAlignment="0" applyProtection="0"/>
    <xf numFmtId="172" fontId="16" fillId="47" borderId="0" applyNumberFormat="0" applyBorder="0" applyAlignment="0" applyProtection="0"/>
    <xf numFmtId="172" fontId="16" fillId="47"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166" fontId="17" fillId="10" borderId="0" applyNumberFormat="0" applyBorder="0" applyAlignment="0" applyProtection="0"/>
    <xf numFmtId="166" fontId="17" fillId="10" borderId="0" applyNumberFormat="0" applyBorder="0" applyAlignment="0" applyProtection="0"/>
    <xf numFmtId="172" fontId="16" fillId="48" borderId="0" applyNumberFormat="0" applyBorder="0" applyAlignment="0" applyProtection="0"/>
    <xf numFmtId="172" fontId="16" fillId="48" borderId="0" applyNumberFormat="0" applyBorder="0" applyAlignment="0" applyProtection="0"/>
    <xf numFmtId="172" fontId="16" fillId="48" borderId="0" applyNumberFormat="0" applyBorder="0" applyAlignment="0" applyProtection="0"/>
    <xf numFmtId="172" fontId="16" fillId="48" borderId="0" applyNumberFormat="0" applyBorder="0" applyAlignment="0" applyProtection="0"/>
    <xf numFmtId="172" fontId="16" fillId="48" borderId="0" applyNumberFormat="0" applyBorder="0" applyAlignment="0" applyProtection="0"/>
    <xf numFmtId="172" fontId="16" fillId="48" borderId="0" applyNumberFormat="0" applyBorder="0" applyAlignment="0" applyProtection="0"/>
    <xf numFmtId="172" fontId="16"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166" fontId="17" fillId="14" borderId="0" applyNumberFormat="0" applyBorder="0" applyAlignment="0" applyProtection="0"/>
    <xf numFmtId="166" fontId="17" fillId="14" borderId="0" applyNumberFormat="0" applyBorder="0" applyAlignment="0" applyProtection="0"/>
    <xf numFmtId="172" fontId="16" fillId="49" borderId="0" applyNumberFormat="0" applyBorder="0" applyAlignment="0" applyProtection="0"/>
    <xf numFmtId="172" fontId="16" fillId="49" borderId="0" applyNumberFormat="0" applyBorder="0" applyAlignment="0" applyProtection="0"/>
    <xf numFmtId="172" fontId="16" fillId="49" borderId="0" applyNumberFormat="0" applyBorder="0" applyAlignment="0" applyProtection="0"/>
    <xf numFmtId="172" fontId="16" fillId="49" borderId="0" applyNumberFormat="0" applyBorder="0" applyAlignment="0" applyProtection="0"/>
    <xf numFmtId="172" fontId="16" fillId="49" borderId="0" applyNumberFormat="0" applyBorder="0" applyAlignment="0" applyProtection="0"/>
    <xf numFmtId="172" fontId="16" fillId="49" borderId="0" applyNumberFormat="0" applyBorder="0" applyAlignment="0" applyProtection="0"/>
    <xf numFmtId="172" fontId="16"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166" fontId="17" fillId="18" borderId="0" applyNumberFormat="0" applyBorder="0" applyAlignment="0" applyProtection="0"/>
    <xf numFmtId="166" fontId="17" fillId="18" borderId="0" applyNumberFormat="0" applyBorder="0" applyAlignment="0" applyProtection="0"/>
    <xf numFmtId="172" fontId="16" fillId="50" borderId="0" applyNumberFormat="0" applyBorder="0" applyAlignment="0" applyProtection="0"/>
    <xf numFmtId="172" fontId="16" fillId="50" borderId="0" applyNumberFormat="0" applyBorder="0" applyAlignment="0" applyProtection="0"/>
    <xf numFmtId="172" fontId="16" fillId="50" borderId="0" applyNumberFormat="0" applyBorder="0" applyAlignment="0" applyProtection="0"/>
    <xf numFmtId="172" fontId="16" fillId="50" borderId="0" applyNumberFormat="0" applyBorder="0" applyAlignment="0" applyProtection="0"/>
    <xf numFmtId="172" fontId="16" fillId="50" borderId="0" applyNumberFormat="0" applyBorder="0" applyAlignment="0" applyProtection="0"/>
    <xf numFmtId="172" fontId="16" fillId="50" borderId="0" applyNumberFormat="0" applyBorder="0" applyAlignment="0" applyProtection="0"/>
    <xf numFmtId="172" fontId="16" fillId="50" borderId="0" applyNumberFormat="0" applyBorder="0" applyAlignment="0" applyProtection="0"/>
    <xf numFmtId="0" fontId="16" fillId="50"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166" fontId="17" fillId="22" borderId="0" applyNumberFormat="0" applyBorder="0" applyAlignment="0" applyProtection="0"/>
    <xf numFmtId="166" fontId="17" fillId="22" borderId="0" applyNumberFormat="0" applyBorder="0" applyAlignment="0" applyProtection="0"/>
    <xf numFmtId="172" fontId="16" fillId="45" borderId="0" applyNumberFormat="0" applyBorder="0" applyAlignment="0" applyProtection="0"/>
    <xf numFmtId="172" fontId="16" fillId="45" borderId="0" applyNumberFormat="0" applyBorder="0" applyAlignment="0" applyProtection="0"/>
    <xf numFmtId="172" fontId="16" fillId="45" borderId="0" applyNumberFormat="0" applyBorder="0" applyAlignment="0" applyProtection="0"/>
    <xf numFmtId="172" fontId="16" fillId="45" borderId="0" applyNumberFormat="0" applyBorder="0" applyAlignment="0" applyProtection="0"/>
    <xf numFmtId="172" fontId="16" fillId="45" borderId="0" applyNumberFormat="0" applyBorder="0" applyAlignment="0" applyProtection="0"/>
    <xf numFmtId="172" fontId="16" fillId="45" borderId="0" applyNumberFormat="0" applyBorder="0" applyAlignment="0" applyProtection="0"/>
    <xf numFmtId="172" fontId="16" fillId="45" borderId="0" applyNumberFormat="0" applyBorder="0" applyAlignment="0" applyProtection="0"/>
    <xf numFmtId="0" fontId="16" fillId="45"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166" fontId="17" fillId="26" borderId="0" applyNumberFormat="0" applyBorder="0" applyAlignment="0" applyProtection="0"/>
    <xf numFmtId="166" fontId="17" fillId="26" borderId="0" applyNumberFormat="0" applyBorder="0" applyAlignment="0" applyProtection="0"/>
    <xf numFmtId="172" fontId="16" fillId="46" borderId="0" applyNumberFormat="0" applyBorder="0" applyAlignment="0" applyProtection="0"/>
    <xf numFmtId="172" fontId="16" fillId="46" borderId="0" applyNumberFormat="0" applyBorder="0" applyAlignment="0" applyProtection="0"/>
    <xf numFmtId="172" fontId="16" fillId="46" borderId="0" applyNumberFormat="0" applyBorder="0" applyAlignment="0" applyProtection="0"/>
    <xf numFmtId="172" fontId="16" fillId="46" borderId="0" applyNumberFormat="0" applyBorder="0" applyAlignment="0" applyProtection="0"/>
    <xf numFmtId="172" fontId="16" fillId="46" borderId="0" applyNumberFormat="0" applyBorder="0" applyAlignment="0" applyProtection="0"/>
    <xf numFmtId="172" fontId="16" fillId="46" borderId="0" applyNumberFormat="0" applyBorder="0" applyAlignment="0" applyProtection="0"/>
    <xf numFmtId="172" fontId="16" fillId="46" borderId="0" applyNumberFormat="0" applyBorder="0" applyAlignment="0" applyProtection="0"/>
    <xf numFmtId="0" fontId="16" fillId="46"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166" fontId="17" fillId="30" borderId="0" applyNumberFormat="0" applyBorder="0" applyAlignment="0" applyProtection="0"/>
    <xf numFmtId="166" fontId="17" fillId="30" borderId="0" applyNumberFormat="0" applyBorder="0" applyAlignment="0" applyProtection="0"/>
    <xf numFmtId="172" fontId="16" fillId="51" borderId="0" applyNumberFormat="0" applyBorder="0" applyAlignment="0" applyProtection="0"/>
    <xf numFmtId="172" fontId="16" fillId="51" borderId="0" applyNumberFormat="0" applyBorder="0" applyAlignment="0" applyProtection="0"/>
    <xf numFmtId="172" fontId="16" fillId="51" borderId="0" applyNumberFormat="0" applyBorder="0" applyAlignment="0" applyProtection="0"/>
    <xf numFmtId="172" fontId="16" fillId="51" borderId="0" applyNumberFormat="0" applyBorder="0" applyAlignment="0" applyProtection="0"/>
    <xf numFmtId="172" fontId="16" fillId="51" borderId="0" applyNumberFormat="0" applyBorder="0" applyAlignment="0" applyProtection="0"/>
    <xf numFmtId="172" fontId="16" fillId="51" borderId="0" applyNumberFormat="0" applyBorder="0" applyAlignment="0" applyProtection="0"/>
    <xf numFmtId="172" fontId="16" fillId="51" borderId="0" applyNumberFormat="0" applyBorder="0" applyAlignment="0" applyProtection="0"/>
    <xf numFmtId="0" fontId="16" fillId="51"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166" fontId="19" fillId="4" borderId="0" applyNumberFormat="0" applyBorder="0" applyAlignment="0" applyProtection="0"/>
    <xf numFmtId="166" fontId="19" fillId="4" borderId="0" applyNumberFormat="0" applyBorder="0" applyAlignment="0" applyProtection="0"/>
    <xf numFmtId="172" fontId="18" fillId="35" borderId="0" applyNumberFormat="0" applyBorder="0" applyAlignment="0" applyProtection="0"/>
    <xf numFmtId="172" fontId="18" fillId="35" borderId="0" applyNumberFormat="0" applyBorder="0" applyAlignment="0" applyProtection="0"/>
    <xf numFmtId="172" fontId="18" fillId="35" borderId="0" applyNumberFormat="0" applyBorder="0" applyAlignment="0" applyProtection="0"/>
    <xf numFmtId="172" fontId="18" fillId="35" borderId="0" applyNumberFormat="0" applyBorder="0" applyAlignment="0" applyProtection="0"/>
    <xf numFmtId="172" fontId="18" fillId="35" borderId="0" applyNumberFormat="0" applyBorder="0" applyAlignment="0" applyProtection="0"/>
    <xf numFmtId="172" fontId="18" fillId="35" borderId="0" applyNumberFormat="0" applyBorder="0" applyAlignment="0" applyProtection="0"/>
    <xf numFmtId="172" fontId="18" fillId="35" borderId="0" applyNumberFormat="0" applyBorder="0" applyAlignment="0" applyProtection="0"/>
    <xf numFmtId="0" fontId="18" fillId="35" borderId="0" applyNumberFormat="0" applyBorder="0" applyAlignment="0" applyProtection="0"/>
    <xf numFmtId="0" fontId="20" fillId="52" borderId="16" applyNumberFormat="0" applyAlignment="0" applyProtection="0"/>
    <xf numFmtId="0" fontId="20" fillId="52" borderId="16" applyNumberFormat="0" applyAlignment="0" applyProtection="0"/>
    <xf numFmtId="0" fontId="20" fillId="52" borderId="16" applyNumberFormat="0" applyAlignment="0" applyProtection="0"/>
    <xf numFmtId="0" fontId="20" fillId="52" borderId="16" applyNumberFormat="0" applyAlignment="0" applyProtection="0"/>
    <xf numFmtId="0" fontId="20" fillId="52" borderId="16" applyNumberFormat="0" applyAlignment="0" applyProtection="0"/>
    <xf numFmtId="166" fontId="21" fillId="7" borderId="8" applyNumberFormat="0" applyAlignment="0" applyProtection="0"/>
    <xf numFmtId="166" fontId="21" fillId="7" borderId="8" applyNumberFormat="0" applyAlignment="0" applyProtection="0"/>
    <xf numFmtId="172" fontId="20" fillId="52" borderId="16" applyNumberFormat="0" applyAlignment="0" applyProtection="0"/>
    <xf numFmtId="172" fontId="20" fillId="52" borderId="16" applyNumberFormat="0" applyAlignment="0" applyProtection="0"/>
    <xf numFmtId="172" fontId="20" fillId="52" borderId="16" applyNumberFormat="0" applyAlignment="0" applyProtection="0"/>
    <xf numFmtId="172" fontId="20" fillId="52" borderId="16" applyNumberFormat="0" applyAlignment="0" applyProtection="0"/>
    <xf numFmtId="172" fontId="20" fillId="52" borderId="16" applyNumberFormat="0" applyAlignment="0" applyProtection="0"/>
    <xf numFmtId="172" fontId="20" fillId="52" borderId="16" applyNumberFormat="0" applyAlignment="0" applyProtection="0"/>
    <xf numFmtId="172" fontId="20" fillId="52" borderId="16" applyNumberFormat="0" applyAlignment="0" applyProtection="0"/>
    <xf numFmtId="0" fontId="20" fillId="52" borderId="16" applyNumberFormat="0" applyAlignment="0" applyProtection="0"/>
    <xf numFmtId="0" fontId="22" fillId="53" borderId="17" applyNumberFormat="0" applyAlignment="0" applyProtection="0"/>
    <xf numFmtId="0" fontId="22" fillId="53" borderId="17" applyNumberFormat="0" applyAlignment="0" applyProtection="0"/>
    <xf numFmtId="0" fontId="22" fillId="53" borderId="17" applyNumberFormat="0" applyAlignment="0" applyProtection="0"/>
    <xf numFmtId="0" fontId="22" fillId="53" borderId="17" applyNumberFormat="0" applyAlignment="0" applyProtection="0"/>
    <xf numFmtId="0" fontId="22" fillId="53" borderId="17" applyNumberFormat="0" applyAlignment="0" applyProtection="0"/>
    <xf numFmtId="166" fontId="23" fillId="8" borderId="11" applyNumberFormat="0" applyAlignment="0" applyProtection="0"/>
    <xf numFmtId="166" fontId="23" fillId="8" borderId="11" applyNumberFormat="0" applyAlignment="0" applyProtection="0"/>
    <xf numFmtId="172" fontId="22" fillId="53" borderId="17" applyNumberFormat="0" applyAlignment="0" applyProtection="0"/>
    <xf numFmtId="172" fontId="22" fillId="53" borderId="17" applyNumberFormat="0" applyAlignment="0" applyProtection="0"/>
    <xf numFmtId="172" fontId="22" fillId="53" borderId="17" applyNumberFormat="0" applyAlignment="0" applyProtection="0"/>
    <xf numFmtId="172" fontId="22" fillId="53" borderId="17" applyNumberFormat="0" applyAlignment="0" applyProtection="0"/>
    <xf numFmtId="172" fontId="22" fillId="53" borderId="17" applyNumberFormat="0" applyAlignment="0" applyProtection="0"/>
    <xf numFmtId="172" fontId="22" fillId="53" borderId="17" applyNumberFormat="0" applyAlignment="0" applyProtection="0"/>
    <xf numFmtId="172" fontId="22" fillId="53" borderId="17" applyNumberFormat="0" applyAlignment="0" applyProtection="0"/>
    <xf numFmtId="0" fontId="22" fillId="53" borderId="17"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3" fontId="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178" fontId="3" fillId="0" borderId="0" applyFont="0" applyFill="0" applyBorder="0" applyAlignment="0" applyProtection="0"/>
    <xf numFmtId="0" fontId="3" fillId="0" borderId="0" applyFont="0" applyFill="0" applyBorder="0" applyAlignment="0" applyProtection="0"/>
    <xf numFmtId="179" fontId="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6" fontId="25" fillId="0" borderId="0" applyNumberFormat="0" applyFill="0" applyBorder="0" applyAlignment="0" applyProtection="0"/>
    <xf numFmtId="166" fontId="25" fillId="0" borderId="0" applyNumberFormat="0" applyFill="0" applyBorder="0" applyAlignment="0" applyProtection="0"/>
    <xf numFmtId="172" fontId="24" fillId="0" borderId="0" applyNumberFormat="0" applyFill="0" applyBorder="0" applyAlignment="0" applyProtection="0"/>
    <xf numFmtId="172" fontId="24" fillId="0" borderId="0" applyNumberFormat="0" applyFill="0" applyBorder="0" applyAlignment="0" applyProtection="0"/>
    <xf numFmtId="172" fontId="24" fillId="0" borderId="0" applyNumberFormat="0" applyFill="0" applyBorder="0" applyAlignment="0" applyProtection="0"/>
    <xf numFmtId="172" fontId="24" fillId="0" borderId="0" applyNumberFormat="0" applyFill="0" applyBorder="0" applyAlignment="0" applyProtection="0"/>
    <xf numFmtId="172" fontId="24" fillId="0" borderId="0" applyNumberFormat="0" applyFill="0" applyBorder="0" applyAlignment="0" applyProtection="0"/>
    <xf numFmtId="172" fontId="24" fillId="0" borderId="0" applyNumberFormat="0" applyFill="0" applyBorder="0" applyAlignment="0" applyProtection="0"/>
    <xf numFmtId="172" fontId="24" fillId="0" borderId="0" applyNumberFormat="0" applyFill="0" applyBorder="0" applyAlignment="0" applyProtection="0"/>
    <xf numFmtId="0" fontId="24" fillId="0" borderId="0" applyNumberFormat="0" applyFill="0" applyBorder="0" applyAlignment="0" applyProtection="0"/>
    <xf numFmtId="172" fontId="1" fillId="0" borderId="0" applyProtection="0"/>
    <xf numFmtId="0" fontId="1" fillId="0" borderId="0" applyProtection="0"/>
    <xf numFmtId="0" fontId="1" fillId="0" borderId="0" applyProtection="0"/>
    <xf numFmtId="0" fontId="1" fillId="0" borderId="0" applyProtection="0"/>
    <xf numFmtId="0" fontId="1" fillId="0" borderId="0" applyProtection="0"/>
    <xf numFmtId="0" fontId="1" fillId="0" borderId="0" applyProtection="0"/>
    <xf numFmtId="0" fontId="1" fillId="0" borderId="0" applyProtection="0"/>
    <xf numFmtId="166" fontId="1" fillId="0" borderId="0" applyProtection="0"/>
    <xf numFmtId="166" fontId="1" fillId="0" borderId="0" applyProtection="0"/>
    <xf numFmtId="0" fontId="1" fillId="0" borderId="0" applyProtection="0"/>
    <xf numFmtId="172"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166" fontId="7" fillId="0" borderId="0" applyProtection="0"/>
    <xf numFmtId="166" fontId="7" fillId="0" borderId="0" applyProtection="0"/>
    <xf numFmtId="0" fontId="7" fillId="0" borderId="0" applyProtection="0"/>
    <xf numFmtId="172" fontId="10" fillId="0" borderId="0" applyProtection="0"/>
    <xf numFmtId="0" fontId="10" fillId="0" borderId="0" applyProtection="0"/>
    <xf numFmtId="0" fontId="10" fillId="0" borderId="0" applyProtection="0"/>
    <xf numFmtId="0" fontId="10" fillId="0" borderId="0" applyProtection="0"/>
    <xf numFmtId="0" fontId="10" fillId="0" borderId="0" applyProtection="0"/>
    <xf numFmtId="0" fontId="10" fillId="0" borderId="0" applyProtection="0"/>
    <xf numFmtId="0" fontId="10" fillId="0" borderId="0" applyProtection="0"/>
    <xf numFmtId="166" fontId="10" fillId="0" borderId="0" applyProtection="0"/>
    <xf numFmtId="166" fontId="10" fillId="0" borderId="0" applyProtection="0"/>
    <xf numFmtId="0" fontId="10" fillId="0" borderId="0" applyProtection="0"/>
    <xf numFmtId="172"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166" fontId="2" fillId="0" borderId="0" applyProtection="0"/>
    <xf numFmtId="166" fontId="2" fillId="0" borderId="0" applyProtection="0"/>
    <xf numFmtId="0" fontId="2" fillId="0" borderId="0" applyProtection="0"/>
    <xf numFmtId="172" fontId="3" fillId="0" borderId="0" applyProtection="0"/>
    <xf numFmtId="0" fontId="3" fillId="0" borderId="0" applyProtection="0"/>
    <xf numFmtId="0" fontId="3" fillId="0" borderId="0" applyProtection="0"/>
    <xf numFmtId="0" fontId="3" fillId="0" borderId="0" applyProtection="0"/>
    <xf numFmtId="0" fontId="3" fillId="0" borderId="0" applyProtection="0"/>
    <xf numFmtId="0" fontId="3" fillId="0" borderId="0" applyProtection="0"/>
    <xf numFmtId="0" fontId="3" fillId="0" borderId="0" applyProtection="0"/>
    <xf numFmtId="166" fontId="3" fillId="0" borderId="0" applyProtection="0"/>
    <xf numFmtId="166" fontId="3" fillId="0" borderId="0" applyProtection="0"/>
    <xf numFmtId="0" fontId="3" fillId="0" borderId="0" applyProtection="0"/>
    <xf numFmtId="172" fontId="1" fillId="0" borderId="0" applyProtection="0"/>
    <xf numFmtId="0" fontId="1" fillId="0" borderId="0" applyProtection="0"/>
    <xf numFmtId="0" fontId="1" fillId="0" borderId="0" applyProtection="0"/>
    <xf numFmtId="0" fontId="1" fillId="0" borderId="0" applyProtection="0"/>
    <xf numFmtId="0" fontId="1" fillId="0" borderId="0" applyProtection="0"/>
    <xf numFmtId="0" fontId="1" fillId="0" borderId="0" applyProtection="0"/>
    <xf numFmtId="0" fontId="1" fillId="0" borderId="0" applyProtection="0"/>
    <xf numFmtId="166" fontId="1" fillId="0" borderId="0" applyProtection="0"/>
    <xf numFmtId="166" fontId="1" fillId="0" borderId="0" applyProtection="0"/>
    <xf numFmtId="0" fontId="1" fillId="0" borderId="0" applyProtection="0"/>
    <xf numFmtId="172"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166" fontId="26" fillId="0" borderId="0" applyProtection="0"/>
    <xf numFmtId="166" fontId="26" fillId="0" borderId="0" applyProtection="0"/>
    <xf numFmtId="0" fontId="26" fillId="0" borderId="0" applyProtection="0"/>
    <xf numFmtId="2" fontId="3" fillId="0" borderId="0" applyFont="0" applyFill="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166" fontId="28" fillId="3" borderId="0" applyNumberFormat="0" applyBorder="0" applyAlignment="0" applyProtection="0"/>
    <xf numFmtId="166" fontId="28" fillId="3" borderId="0" applyNumberFormat="0" applyBorder="0" applyAlignment="0" applyProtection="0"/>
    <xf numFmtId="172" fontId="27" fillId="36" borderId="0" applyNumberFormat="0" applyBorder="0" applyAlignment="0" applyProtection="0"/>
    <xf numFmtId="172" fontId="27" fillId="36" borderId="0" applyNumberFormat="0" applyBorder="0" applyAlignment="0" applyProtection="0"/>
    <xf numFmtId="172" fontId="27" fillId="36" borderId="0" applyNumberFormat="0" applyBorder="0" applyAlignment="0" applyProtection="0"/>
    <xf numFmtId="172" fontId="27" fillId="36" borderId="0" applyNumberFormat="0" applyBorder="0" applyAlignment="0" applyProtection="0"/>
    <xf numFmtId="172" fontId="27" fillId="36" borderId="0" applyNumberFormat="0" applyBorder="0" applyAlignment="0" applyProtection="0"/>
    <xf numFmtId="172" fontId="27" fillId="36" borderId="0" applyNumberFormat="0" applyBorder="0" applyAlignment="0" applyProtection="0"/>
    <xf numFmtId="172" fontId="27" fillId="36" borderId="0" applyNumberFormat="0" applyBorder="0" applyAlignment="0" applyProtection="0"/>
    <xf numFmtId="0" fontId="27" fillId="36" borderId="0" applyNumberFormat="0" applyBorder="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166" fontId="30" fillId="0" borderId="5" applyNumberFormat="0" applyFill="0" applyAlignment="0" applyProtection="0"/>
    <xf numFmtId="166" fontId="30" fillId="0" borderId="5" applyNumberFormat="0" applyFill="0" applyAlignment="0" applyProtection="0"/>
    <xf numFmtId="172" fontId="29" fillId="0" borderId="18" applyNumberFormat="0" applyFill="0" applyAlignment="0" applyProtection="0"/>
    <xf numFmtId="172" fontId="29" fillId="0" borderId="18" applyNumberFormat="0" applyFill="0" applyAlignment="0" applyProtection="0"/>
    <xf numFmtId="172" fontId="29" fillId="0" borderId="18" applyNumberFormat="0" applyFill="0" applyAlignment="0" applyProtection="0"/>
    <xf numFmtId="172" fontId="29" fillId="0" borderId="18" applyNumberFormat="0" applyFill="0" applyAlignment="0" applyProtection="0"/>
    <xf numFmtId="172" fontId="29" fillId="0" borderId="18" applyNumberFormat="0" applyFill="0" applyAlignment="0" applyProtection="0"/>
    <xf numFmtId="172" fontId="29" fillId="0" borderId="18" applyNumberFormat="0" applyFill="0" applyAlignment="0" applyProtection="0"/>
    <xf numFmtId="172" fontId="29" fillId="0" borderId="18" applyNumberFormat="0" applyFill="0" applyAlignment="0" applyProtection="0"/>
    <xf numFmtId="0" fontId="29" fillId="0" borderId="18" applyNumberFormat="0" applyFill="0" applyAlignment="0" applyProtection="0"/>
    <xf numFmtId="0" fontId="31" fillId="0" borderId="19" applyNumberFormat="0" applyFill="0" applyAlignment="0" applyProtection="0"/>
    <xf numFmtId="0" fontId="31" fillId="0" borderId="19" applyNumberFormat="0" applyFill="0" applyAlignment="0" applyProtection="0"/>
    <xf numFmtId="0" fontId="31" fillId="0" borderId="19" applyNumberFormat="0" applyFill="0" applyAlignment="0" applyProtection="0"/>
    <xf numFmtId="0" fontId="31" fillId="0" borderId="19" applyNumberFormat="0" applyFill="0" applyAlignment="0" applyProtection="0"/>
    <xf numFmtId="0" fontId="31" fillId="0" borderId="19" applyNumberFormat="0" applyFill="0" applyAlignment="0" applyProtection="0"/>
    <xf numFmtId="166" fontId="32" fillId="0" borderId="6" applyNumberFormat="0" applyFill="0" applyAlignment="0" applyProtection="0"/>
    <xf numFmtId="166" fontId="32" fillId="0" borderId="6" applyNumberFormat="0" applyFill="0" applyAlignment="0" applyProtection="0"/>
    <xf numFmtId="172" fontId="31" fillId="0" borderId="19" applyNumberFormat="0" applyFill="0" applyAlignment="0" applyProtection="0"/>
    <xf numFmtId="172" fontId="31" fillId="0" borderId="19" applyNumberFormat="0" applyFill="0" applyAlignment="0" applyProtection="0"/>
    <xf numFmtId="172" fontId="31" fillId="0" borderId="19" applyNumberFormat="0" applyFill="0" applyAlignment="0" applyProtection="0"/>
    <xf numFmtId="172" fontId="31" fillId="0" borderId="19" applyNumberFormat="0" applyFill="0" applyAlignment="0" applyProtection="0"/>
    <xf numFmtId="172" fontId="31" fillId="0" borderId="19" applyNumberFormat="0" applyFill="0" applyAlignment="0" applyProtection="0"/>
    <xf numFmtId="172" fontId="31" fillId="0" borderId="19" applyNumberFormat="0" applyFill="0" applyAlignment="0" applyProtection="0"/>
    <xf numFmtId="172" fontId="31" fillId="0" borderId="19" applyNumberFormat="0" applyFill="0" applyAlignment="0" applyProtection="0"/>
    <xf numFmtId="0" fontId="31" fillId="0" borderId="19"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166" fontId="34" fillId="0" borderId="7" applyNumberFormat="0" applyFill="0" applyAlignment="0" applyProtection="0"/>
    <xf numFmtId="166" fontId="34" fillId="0" borderId="7" applyNumberFormat="0" applyFill="0" applyAlignment="0" applyProtection="0"/>
    <xf numFmtId="172" fontId="33" fillId="0" borderId="20" applyNumberFormat="0" applyFill="0" applyAlignment="0" applyProtection="0"/>
    <xf numFmtId="172" fontId="33" fillId="0" borderId="20" applyNumberFormat="0" applyFill="0" applyAlignment="0" applyProtection="0"/>
    <xf numFmtId="172" fontId="33" fillId="0" borderId="20" applyNumberFormat="0" applyFill="0" applyAlignment="0" applyProtection="0"/>
    <xf numFmtId="172" fontId="33" fillId="0" borderId="20" applyNumberFormat="0" applyFill="0" applyAlignment="0" applyProtection="0"/>
    <xf numFmtId="172" fontId="33" fillId="0" borderId="20" applyNumberFormat="0" applyFill="0" applyAlignment="0" applyProtection="0"/>
    <xf numFmtId="172" fontId="33" fillId="0" borderId="20" applyNumberFormat="0" applyFill="0" applyAlignment="0" applyProtection="0"/>
    <xf numFmtId="172" fontId="33" fillId="0" borderId="20" applyNumberFormat="0" applyFill="0" applyAlignment="0" applyProtection="0"/>
    <xf numFmtId="0" fontId="33" fillId="0" borderId="2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0" fontId="33" fillId="0" borderId="0" applyNumberFormat="0" applyFill="0" applyBorder="0" applyAlignment="0" applyProtection="0"/>
    <xf numFmtId="0" fontId="35" fillId="39" borderId="16" applyNumberFormat="0" applyAlignment="0" applyProtection="0"/>
    <xf numFmtId="0" fontId="35" fillId="39" borderId="16" applyNumberFormat="0" applyAlignment="0" applyProtection="0"/>
    <xf numFmtId="0" fontId="35" fillId="39" borderId="16" applyNumberFormat="0" applyAlignment="0" applyProtection="0"/>
    <xf numFmtId="0" fontId="35" fillId="39" borderId="16" applyNumberFormat="0" applyAlignment="0" applyProtection="0"/>
    <xf numFmtId="0" fontId="35" fillId="39" borderId="16" applyNumberFormat="0" applyAlignment="0" applyProtection="0"/>
    <xf numFmtId="166" fontId="36" fillId="6" borderId="8" applyNumberFormat="0" applyAlignment="0" applyProtection="0"/>
    <xf numFmtId="166" fontId="36" fillId="6" borderId="8" applyNumberFormat="0" applyAlignment="0" applyProtection="0"/>
    <xf numFmtId="172" fontId="35" fillId="39" borderId="16" applyNumberFormat="0" applyAlignment="0" applyProtection="0"/>
    <xf numFmtId="172" fontId="35" fillId="39" borderId="16" applyNumberFormat="0" applyAlignment="0" applyProtection="0"/>
    <xf numFmtId="172" fontId="35" fillId="39" borderId="16" applyNumberFormat="0" applyAlignment="0" applyProtection="0"/>
    <xf numFmtId="172" fontId="35" fillId="39" borderId="16" applyNumberFormat="0" applyAlignment="0" applyProtection="0"/>
    <xf numFmtId="172" fontId="35" fillId="39" borderId="16" applyNumberFormat="0" applyAlignment="0" applyProtection="0"/>
    <xf numFmtId="172" fontId="35" fillId="39" borderId="16" applyNumberFormat="0" applyAlignment="0" applyProtection="0"/>
    <xf numFmtId="172" fontId="35" fillId="39" borderId="16" applyNumberFormat="0" applyAlignment="0" applyProtection="0"/>
    <xf numFmtId="0" fontId="35" fillId="39" borderId="16" applyNumberFormat="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166" fontId="38" fillId="0" borderId="10" applyNumberFormat="0" applyFill="0" applyAlignment="0" applyProtection="0"/>
    <xf numFmtId="166" fontId="38" fillId="0" borderId="10" applyNumberFormat="0" applyFill="0" applyAlignment="0" applyProtection="0"/>
    <xf numFmtId="172" fontId="37" fillId="0" borderId="21" applyNumberFormat="0" applyFill="0" applyAlignment="0" applyProtection="0"/>
    <xf numFmtId="172" fontId="37" fillId="0" borderId="21" applyNumberFormat="0" applyFill="0" applyAlignment="0" applyProtection="0"/>
    <xf numFmtId="172" fontId="37" fillId="0" borderId="21" applyNumberFormat="0" applyFill="0" applyAlignment="0" applyProtection="0"/>
    <xf numFmtId="172" fontId="37" fillId="0" borderId="21" applyNumberFormat="0" applyFill="0" applyAlignment="0" applyProtection="0"/>
    <xf numFmtId="172" fontId="37" fillId="0" borderId="21" applyNumberFormat="0" applyFill="0" applyAlignment="0" applyProtection="0"/>
    <xf numFmtId="172" fontId="37" fillId="0" borderId="21" applyNumberFormat="0" applyFill="0" applyAlignment="0" applyProtection="0"/>
    <xf numFmtId="172" fontId="37" fillId="0" borderId="21" applyNumberFormat="0" applyFill="0" applyAlignment="0" applyProtection="0"/>
    <xf numFmtId="0" fontId="37" fillId="0" borderId="21" applyNumberFormat="0" applyFill="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66" fontId="40" fillId="5" borderId="0" applyNumberFormat="0" applyBorder="0" applyAlignment="0" applyProtection="0"/>
    <xf numFmtId="166" fontId="40" fillId="5" borderId="0" applyNumberFormat="0" applyBorder="0" applyAlignment="0" applyProtection="0"/>
    <xf numFmtId="172" fontId="39" fillId="54" borderId="0" applyNumberFormat="0" applyBorder="0" applyAlignment="0" applyProtection="0"/>
    <xf numFmtId="172" fontId="39" fillId="54" borderId="0" applyNumberFormat="0" applyBorder="0" applyAlignment="0" applyProtection="0"/>
    <xf numFmtId="172" fontId="39" fillId="54" borderId="0" applyNumberFormat="0" applyBorder="0" applyAlignment="0" applyProtection="0"/>
    <xf numFmtId="172" fontId="39" fillId="54" borderId="0" applyNumberFormat="0" applyBorder="0" applyAlignment="0" applyProtection="0"/>
    <xf numFmtId="172" fontId="39" fillId="54" borderId="0" applyNumberFormat="0" applyBorder="0" applyAlignment="0" applyProtection="0"/>
    <xf numFmtId="172" fontId="39" fillId="54" borderId="0" applyNumberFormat="0" applyBorder="0" applyAlignment="0" applyProtection="0"/>
    <xf numFmtId="172" fontId="39" fillId="54" borderId="0" applyNumberFormat="0" applyBorder="0" applyAlignment="0" applyProtection="0"/>
    <xf numFmtId="0" fontId="39" fillId="54" borderId="0" applyNumberFormat="0" applyBorder="0" applyAlignment="0" applyProtection="0"/>
    <xf numFmtId="172" fontId="3" fillId="0" borderId="0"/>
    <xf numFmtId="172"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172" fontId="3" fillId="0" borderId="0"/>
    <xf numFmtId="172" fontId="3" fillId="0" borderId="0"/>
    <xf numFmtId="172" fontId="3" fillId="0" borderId="0"/>
    <xf numFmtId="172" fontId="3" fillId="0" borderId="0"/>
    <xf numFmtId="166" fontId="3" fillId="0" borderId="0"/>
    <xf numFmtId="166"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0" fontId="3" fillId="0" borderId="0"/>
    <xf numFmtId="41" fontId="13" fillId="0" borderId="0"/>
    <xf numFmtId="41" fontId="13" fillId="0" borderId="0"/>
    <xf numFmtId="41" fontId="13" fillId="0" borderId="0"/>
    <xf numFmtId="172" fontId="41" fillId="0" borderId="0"/>
    <xf numFmtId="172" fontId="41" fillId="0" borderId="0"/>
    <xf numFmtId="172" fontId="41" fillId="0" borderId="0"/>
    <xf numFmtId="172" fontId="41" fillId="0" borderId="0"/>
    <xf numFmtId="172" fontId="41" fillId="0" borderId="0"/>
    <xf numFmtId="166" fontId="15" fillId="0" borderId="0"/>
    <xf numFmtId="166" fontId="15" fillId="0" borderId="0"/>
    <xf numFmtId="172" fontId="41" fillId="0" borderId="0"/>
    <xf numFmtId="172" fontId="41" fillId="0" borderId="0"/>
    <xf numFmtId="172" fontId="41" fillId="0" borderId="0"/>
    <xf numFmtId="172" fontId="41" fillId="0" borderId="0"/>
    <xf numFmtId="172" fontId="41" fillId="0" borderId="0"/>
    <xf numFmtId="172" fontId="41" fillId="0" borderId="0"/>
    <xf numFmtId="172" fontId="41" fillId="0" borderId="0"/>
    <xf numFmtId="172" fontId="41" fillId="0" borderId="0"/>
    <xf numFmtId="172" fontId="41" fillId="0" borderId="0"/>
    <xf numFmtId="166" fontId="15" fillId="0" borderId="0"/>
    <xf numFmtId="166" fontId="15" fillId="0" borderId="0"/>
    <xf numFmtId="0" fontId="3" fillId="0" borderId="0"/>
    <xf numFmtId="166" fontId="15" fillId="0" borderId="0"/>
    <xf numFmtId="166" fontId="15" fillId="0" borderId="0"/>
    <xf numFmtId="172" fontId="3" fillId="0" borderId="0"/>
    <xf numFmtId="166" fontId="15" fillId="0" borderId="0"/>
    <xf numFmtId="166" fontId="15" fillId="0" borderId="0"/>
    <xf numFmtId="172" fontId="3" fillId="0" borderId="0"/>
    <xf numFmtId="166" fontId="15" fillId="0" borderId="0"/>
    <xf numFmtId="166" fontId="15" fillId="0" borderId="0"/>
    <xf numFmtId="172" fontId="3" fillId="0" borderId="0"/>
    <xf numFmtId="166" fontId="15" fillId="0" borderId="0"/>
    <xf numFmtId="166" fontId="15" fillId="0" borderId="0"/>
    <xf numFmtId="172" fontId="3" fillId="0" borderId="0"/>
    <xf numFmtId="166" fontId="15" fillId="0" borderId="0"/>
    <xf numFmtId="166" fontId="15" fillId="0" borderId="0"/>
    <xf numFmtId="0" fontId="42" fillId="55" borderId="22" applyNumberFormat="0" applyFont="0" applyAlignment="0" applyProtection="0"/>
    <xf numFmtId="0" fontId="42" fillId="55" borderId="22" applyNumberFormat="0" applyFont="0" applyAlignment="0" applyProtection="0"/>
    <xf numFmtId="0" fontId="42" fillId="55" borderId="22" applyNumberFormat="0" applyFont="0" applyAlignment="0" applyProtection="0"/>
    <xf numFmtId="0" fontId="42" fillId="55" borderId="22" applyNumberFormat="0" applyFont="0" applyAlignment="0" applyProtection="0"/>
    <xf numFmtId="0" fontId="42" fillId="55" borderId="22" applyNumberFormat="0" applyFont="0" applyAlignment="0" applyProtection="0"/>
    <xf numFmtId="172" fontId="42" fillId="55" borderId="22" applyNumberFormat="0" applyFont="0" applyAlignment="0" applyProtection="0"/>
    <xf numFmtId="166" fontId="42" fillId="9" borderId="12" applyNumberFormat="0" applyFont="0" applyAlignment="0" applyProtection="0"/>
    <xf numFmtId="166" fontId="42" fillId="9" borderId="12" applyNumberFormat="0" applyFont="0" applyAlignment="0" applyProtection="0"/>
    <xf numFmtId="172" fontId="42" fillId="55" borderId="22" applyNumberFormat="0" applyFont="0" applyAlignment="0" applyProtection="0"/>
    <xf numFmtId="166" fontId="42" fillId="9" borderId="12" applyNumberFormat="0" applyFont="0" applyAlignment="0" applyProtection="0"/>
    <xf numFmtId="166" fontId="42" fillId="9" borderId="12" applyNumberFormat="0" applyFont="0" applyAlignment="0" applyProtection="0"/>
    <xf numFmtId="172" fontId="42" fillId="55" borderId="22" applyNumberFormat="0" applyFont="0" applyAlignment="0" applyProtection="0"/>
    <xf numFmtId="166" fontId="42" fillId="9" borderId="12" applyNumberFormat="0" applyFont="0" applyAlignment="0" applyProtection="0"/>
    <xf numFmtId="166" fontId="42" fillId="9" borderId="12" applyNumberFormat="0" applyFont="0" applyAlignment="0" applyProtection="0"/>
    <xf numFmtId="172" fontId="42" fillId="55" borderId="22" applyNumberFormat="0" applyFont="0" applyAlignment="0" applyProtection="0"/>
    <xf numFmtId="166" fontId="42" fillId="9" borderId="12" applyNumberFormat="0" applyFont="0" applyAlignment="0" applyProtection="0"/>
    <xf numFmtId="166" fontId="42" fillId="9" borderId="12" applyNumberFormat="0" applyFont="0" applyAlignment="0" applyProtection="0"/>
    <xf numFmtId="172" fontId="42" fillId="55" borderId="22" applyNumberFormat="0" applyFont="0" applyAlignment="0" applyProtection="0"/>
    <xf numFmtId="166" fontId="42" fillId="9" borderId="12" applyNumberFormat="0" applyFont="0" applyAlignment="0" applyProtection="0"/>
    <xf numFmtId="166" fontId="42" fillId="9" borderId="12" applyNumberFormat="0" applyFont="0" applyAlignment="0" applyProtection="0"/>
    <xf numFmtId="172" fontId="42" fillId="55" borderId="22" applyNumberFormat="0" applyFont="0" applyAlignment="0" applyProtection="0"/>
    <xf numFmtId="166" fontId="42" fillId="9" borderId="12" applyNumberFormat="0" applyFont="0" applyAlignment="0" applyProtection="0"/>
    <xf numFmtId="166" fontId="42" fillId="9" borderId="12" applyNumberFormat="0" applyFont="0" applyAlignment="0" applyProtection="0"/>
    <xf numFmtId="172" fontId="42" fillId="55" borderId="22" applyNumberFormat="0" applyFont="0" applyAlignment="0" applyProtection="0"/>
    <xf numFmtId="166" fontId="42" fillId="9" borderId="12" applyNumberFormat="0" applyFont="0" applyAlignment="0" applyProtection="0"/>
    <xf numFmtId="166" fontId="42" fillId="9" borderId="12" applyNumberFormat="0" applyFont="0" applyAlignment="0" applyProtection="0"/>
    <xf numFmtId="0" fontId="42" fillId="55" borderId="22" applyNumberFormat="0" applyFont="0" applyAlignment="0" applyProtection="0"/>
    <xf numFmtId="0" fontId="43" fillId="52" borderId="23" applyNumberFormat="0" applyAlignment="0" applyProtection="0"/>
    <xf numFmtId="0" fontId="43" fillId="52" borderId="23" applyNumberFormat="0" applyAlignment="0" applyProtection="0"/>
    <xf numFmtId="0" fontId="43" fillId="52" borderId="23" applyNumberFormat="0" applyAlignment="0" applyProtection="0"/>
    <xf numFmtId="0" fontId="43" fillId="52" borderId="23" applyNumberFormat="0" applyAlignment="0" applyProtection="0"/>
    <xf numFmtId="0" fontId="43" fillId="52" borderId="23" applyNumberFormat="0" applyAlignment="0" applyProtection="0"/>
    <xf numFmtId="166" fontId="44" fillId="7" borderId="9" applyNumberFormat="0" applyAlignment="0" applyProtection="0"/>
    <xf numFmtId="166" fontId="44" fillId="7" borderId="9" applyNumberFormat="0" applyAlignment="0" applyProtection="0"/>
    <xf numFmtId="172" fontId="43" fillId="52" borderId="23" applyNumberFormat="0" applyAlignment="0" applyProtection="0"/>
    <xf numFmtId="172" fontId="43" fillId="52" borderId="23" applyNumberFormat="0" applyAlignment="0" applyProtection="0"/>
    <xf numFmtId="172" fontId="43" fillId="52" borderId="23" applyNumberFormat="0" applyAlignment="0" applyProtection="0"/>
    <xf numFmtId="172" fontId="43" fillId="52" borderId="23" applyNumberFormat="0" applyAlignment="0" applyProtection="0"/>
    <xf numFmtId="172" fontId="43" fillId="52" borderId="23" applyNumberFormat="0" applyAlignment="0" applyProtection="0"/>
    <xf numFmtId="172" fontId="43" fillId="52" borderId="23" applyNumberFormat="0" applyAlignment="0" applyProtection="0"/>
    <xf numFmtId="172" fontId="43" fillId="52" borderId="23" applyNumberFormat="0" applyAlignment="0" applyProtection="0"/>
    <xf numFmtId="0" fontId="43" fillId="52" borderId="23" applyNumberFormat="0" applyAlignment="0" applyProtection="0"/>
    <xf numFmtId="4" fontId="11" fillId="2" borderId="0">
      <alignment horizontal="right"/>
    </xf>
    <xf numFmtId="172" fontId="45" fillId="2" borderId="0">
      <alignment horizontal="center" vertical="center"/>
    </xf>
    <xf numFmtId="0" fontId="45" fillId="2" borderId="0">
      <alignment horizontal="center" vertical="center"/>
    </xf>
    <xf numFmtId="0" fontId="45" fillId="2" borderId="0">
      <alignment horizontal="center" vertical="center"/>
    </xf>
    <xf numFmtId="0" fontId="45" fillId="2" borderId="0">
      <alignment horizontal="center" vertical="center"/>
    </xf>
    <xf numFmtId="0" fontId="45" fillId="2" borderId="0">
      <alignment horizontal="center" vertical="center"/>
    </xf>
    <xf numFmtId="0" fontId="45" fillId="2" borderId="0">
      <alignment horizontal="center" vertical="center"/>
    </xf>
    <xf numFmtId="0" fontId="45" fillId="2" borderId="0">
      <alignment horizontal="center" vertical="center"/>
    </xf>
    <xf numFmtId="166" fontId="45" fillId="2" borderId="0">
      <alignment horizontal="center" vertical="center"/>
    </xf>
    <xf numFmtId="166" fontId="45" fillId="2" borderId="0">
      <alignment horizontal="center" vertical="center"/>
    </xf>
    <xf numFmtId="0" fontId="45" fillId="2" borderId="0">
      <alignment horizontal="center" vertical="center"/>
    </xf>
    <xf numFmtId="172" fontId="8" fillId="2" borderId="4"/>
    <xf numFmtId="0" fontId="8" fillId="2" borderId="4"/>
    <xf numFmtId="0" fontId="8" fillId="2" borderId="4"/>
    <xf numFmtId="0" fontId="8" fillId="2" borderId="4"/>
    <xf numFmtId="0" fontId="8" fillId="2" borderId="4"/>
    <xf numFmtId="0" fontId="8" fillId="2" borderId="4"/>
    <xf numFmtId="0" fontId="8" fillId="2" borderId="4"/>
    <xf numFmtId="166" fontId="8" fillId="2" borderId="4"/>
    <xf numFmtId="166" fontId="8" fillId="2" borderId="4"/>
    <xf numFmtId="0" fontId="8" fillId="2" borderId="4"/>
    <xf numFmtId="172" fontId="45" fillId="2" borderId="0" applyBorder="0">
      <alignment horizontal="centerContinuous"/>
    </xf>
    <xf numFmtId="0" fontId="45" fillId="2" borderId="0" applyBorder="0">
      <alignment horizontal="centerContinuous"/>
    </xf>
    <xf numFmtId="0" fontId="45" fillId="2" borderId="0" applyBorder="0">
      <alignment horizontal="centerContinuous"/>
    </xf>
    <xf numFmtId="0" fontId="45" fillId="2" borderId="0" applyBorder="0">
      <alignment horizontal="centerContinuous"/>
    </xf>
    <xf numFmtId="0" fontId="45" fillId="2" borderId="0" applyBorder="0">
      <alignment horizontal="centerContinuous"/>
    </xf>
    <xf numFmtId="0" fontId="45" fillId="2" borderId="0" applyBorder="0">
      <alignment horizontal="centerContinuous"/>
    </xf>
    <xf numFmtId="0" fontId="45" fillId="2" borderId="0" applyBorder="0">
      <alignment horizontal="centerContinuous"/>
    </xf>
    <xf numFmtId="166" fontId="45" fillId="2" borderId="0" applyBorder="0">
      <alignment horizontal="centerContinuous"/>
    </xf>
    <xf numFmtId="166" fontId="45" fillId="2" borderId="0" applyBorder="0">
      <alignment horizontal="centerContinuous"/>
    </xf>
    <xf numFmtId="0" fontId="45" fillId="2" borderId="0" applyBorder="0">
      <alignment horizontal="centerContinuous"/>
    </xf>
    <xf numFmtId="172" fontId="46" fillId="2" borderId="0" applyBorder="0">
      <alignment horizontal="centerContinuous"/>
    </xf>
    <xf numFmtId="0" fontId="46" fillId="2" borderId="0" applyBorder="0">
      <alignment horizontal="centerContinuous"/>
    </xf>
    <xf numFmtId="0" fontId="46" fillId="2" borderId="0" applyBorder="0">
      <alignment horizontal="centerContinuous"/>
    </xf>
    <xf numFmtId="0" fontId="46" fillId="2" borderId="0" applyBorder="0">
      <alignment horizontal="centerContinuous"/>
    </xf>
    <xf numFmtId="0" fontId="46" fillId="2" borderId="0" applyBorder="0">
      <alignment horizontal="centerContinuous"/>
    </xf>
    <xf numFmtId="0" fontId="46" fillId="2" borderId="0" applyBorder="0">
      <alignment horizontal="centerContinuous"/>
    </xf>
    <xf numFmtId="0" fontId="46" fillId="2" borderId="0" applyBorder="0">
      <alignment horizontal="centerContinuous"/>
    </xf>
    <xf numFmtId="166" fontId="46" fillId="2" borderId="0" applyBorder="0">
      <alignment horizontal="centerContinuous"/>
    </xf>
    <xf numFmtId="166" fontId="46" fillId="2" borderId="0" applyBorder="0">
      <alignment horizontal="centerContinuous"/>
    </xf>
    <xf numFmtId="0" fontId="46" fillId="2" borderId="0" applyBorder="0">
      <alignment horizontal="centerContinuous"/>
    </xf>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166" fontId="12" fillId="0" borderId="0" applyNumberFormat="0" applyFill="0" applyBorder="0" applyAlignment="0" applyProtection="0"/>
    <xf numFmtId="166" fontId="12" fillId="0" borderId="0" applyNumberFormat="0" applyFill="0" applyBorder="0" applyAlignment="0" applyProtection="0"/>
    <xf numFmtId="172" fontId="47" fillId="0" borderId="0" applyNumberFormat="0" applyFill="0" applyBorder="0" applyAlignment="0" applyProtection="0"/>
    <xf numFmtId="172" fontId="47" fillId="0" borderId="0" applyNumberFormat="0" applyFill="0" applyBorder="0" applyAlignment="0" applyProtection="0"/>
    <xf numFmtId="172" fontId="47" fillId="0" borderId="0" applyNumberFormat="0" applyFill="0" applyBorder="0" applyAlignment="0" applyProtection="0"/>
    <xf numFmtId="172" fontId="47" fillId="0" borderId="0" applyNumberFormat="0" applyFill="0" applyBorder="0" applyAlignment="0" applyProtection="0"/>
    <xf numFmtId="172" fontId="47" fillId="0" borderId="0" applyNumberFormat="0" applyFill="0" applyBorder="0" applyAlignment="0" applyProtection="0"/>
    <xf numFmtId="172"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0" fontId="48" fillId="0" borderId="24" applyNumberFormat="0" applyFill="0" applyAlignment="0" applyProtection="0"/>
    <xf numFmtId="0" fontId="48" fillId="0" borderId="24" applyNumberFormat="0" applyFill="0" applyAlignment="0" applyProtection="0"/>
    <xf numFmtId="0" fontId="48" fillId="0" borderId="24" applyNumberFormat="0" applyFill="0" applyAlignment="0" applyProtection="0"/>
    <xf numFmtId="0" fontId="48" fillId="0" borderId="24" applyNumberFormat="0" applyFill="0" applyAlignment="0" applyProtection="0"/>
    <xf numFmtId="0" fontId="48" fillId="0" borderId="24" applyNumberFormat="0" applyFill="0" applyAlignment="0" applyProtection="0"/>
    <xf numFmtId="166" fontId="49" fillId="0" borderId="13" applyNumberFormat="0" applyFill="0" applyAlignment="0" applyProtection="0"/>
    <xf numFmtId="166" fontId="49" fillId="0" borderId="13" applyNumberFormat="0" applyFill="0" applyAlignment="0" applyProtection="0"/>
    <xf numFmtId="172" fontId="48" fillId="0" borderId="24" applyNumberFormat="0" applyFill="0" applyAlignment="0" applyProtection="0"/>
    <xf numFmtId="172" fontId="48" fillId="0" borderId="24" applyNumberFormat="0" applyFill="0" applyAlignment="0" applyProtection="0"/>
    <xf numFmtId="172" fontId="48" fillId="0" borderId="24" applyNumberFormat="0" applyFill="0" applyAlignment="0" applyProtection="0"/>
    <xf numFmtId="172" fontId="48" fillId="0" borderId="24" applyNumberFormat="0" applyFill="0" applyAlignment="0" applyProtection="0"/>
    <xf numFmtId="172" fontId="48" fillId="0" borderId="24" applyNumberFormat="0" applyFill="0" applyAlignment="0" applyProtection="0"/>
    <xf numFmtId="172" fontId="48" fillId="0" borderId="24" applyNumberFormat="0" applyFill="0" applyAlignment="0" applyProtection="0"/>
    <xf numFmtId="172" fontId="48" fillId="0" borderId="24" applyNumberFormat="0" applyFill="0" applyAlignment="0" applyProtection="0"/>
    <xf numFmtId="0" fontId="48" fillId="0" borderId="24"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6" fontId="51" fillId="0" borderId="0" applyNumberFormat="0" applyFill="0" applyBorder="0" applyAlignment="0" applyProtection="0"/>
    <xf numFmtId="166" fontId="51"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0" fontId="50" fillId="0" borderId="0" applyNumberFormat="0" applyFill="0" applyBorder="0" applyAlignment="0" applyProtection="0"/>
    <xf numFmtId="43" fontId="14" fillId="0" borderId="0" applyFont="0" applyFill="0" applyBorder="0" applyAlignment="0" applyProtection="0"/>
    <xf numFmtId="0" fontId="3" fillId="0" borderId="0"/>
    <xf numFmtId="0" fontId="3" fillId="0" borderId="0"/>
    <xf numFmtId="44" fontId="14" fillId="0" borderId="0" applyFont="0" applyFill="0" applyBorder="0" applyAlignment="0" applyProtection="0"/>
    <xf numFmtId="172" fontId="3" fillId="0" borderId="0"/>
    <xf numFmtId="41" fontId="13" fillId="0" borderId="0"/>
  </cellStyleXfs>
  <cellXfs count="241">
    <xf numFmtId="0" fontId="0" fillId="0" borderId="0" xfId="0"/>
    <xf numFmtId="0" fontId="0" fillId="0" borderId="0" xfId="0" applyFont="1"/>
    <xf numFmtId="0" fontId="0" fillId="0" borderId="0" xfId="0" applyFont="1" applyAlignment="1">
      <alignment horizontal="center"/>
    </xf>
    <xf numFmtId="164" fontId="0" fillId="0" borderId="0" xfId="3" applyNumberFormat="1" applyFont="1"/>
    <xf numFmtId="0" fontId="0" fillId="0" borderId="0" xfId="0" applyFont="1" applyFill="1"/>
    <xf numFmtId="0" fontId="53" fillId="0" borderId="0" xfId="0" applyFont="1"/>
    <xf numFmtId="0" fontId="53" fillId="0" borderId="0" xfId="0" applyFont="1" applyFill="1"/>
    <xf numFmtId="37" fontId="0" fillId="0" borderId="0" xfId="0" applyNumberFormat="1" applyFont="1"/>
    <xf numFmtId="164" fontId="0" fillId="0" borderId="0" xfId="0" applyNumberFormat="1" applyFont="1"/>
    <xf numFmtId="43" fontId="0" fillId="0" borderId="0" xfId="0" applyNumberFormat="1" applyFont="1"/>
    <xf numFmtId="0" fontId="52" fillId="0" borderId="0" xfId="0" applyFont="1" applyAlignment="1">
      <alignment horizontal="left"/>
    </xf>
    <xf numFmtId="0" fontId="52" fillId="0" borderId="0" xfId="0" applyFont="1"/>
    <xf numFmtId="0" fontId="59" fillId="0" borderId="0" xfId="0" applyFont="1"/>
    <xf numFmtId="0" fontId="58" fillId="0" borderId="0" xfId="0" applyFont="1"/>
    <xf numFmtId="43" fontId="60" fillId="0" borderId="0" xfId="9" applyFont="1" applyFill="1" applyBorder="1" applyAlignment="1">
      <alignment horizontal="left"/>
    </xf>
    <xf numFmtId="0" fontId="53" fillId="0" borderId="0" xfId="0" applyFont="1" applyFill="1" applyBorder="1"/>
    <xf numFmtId="0" fontId="53" fillId="0" borderId="0" xfId="0" applyFont="1" applyFill="1" applyBorder="1" applyAlignment="1">
      <alignment horizontal="center"/>
    </xf>
    <xf numFmtId="0" fontId="61" fillId="0" borderId="0" xfId="0" applyFont="1" applyFill="1"/>
    <xf numFmtId="41" fontId="60" fillId="0" borderId="0" xfId="848" applyFont="1" applyFill="1" applyBorder="1" applyAlignment="1">
      <alignment horizontal="left"/>
    </xf>
    <xf numFmtId="41" fontId="60" fillId="0" borderId="0" xfId="848" applyFont="1" applyFill="1" applyBorder="1" applyAlignment="1">
      <alignment horizontal="right"/>
    </xf>
    <xf numFmtId="41" fontId="61" fillId="0" borderId="0" xfId="848" applyFont="1" applyFill="1" applyBorder="1" applyAlignment="1">
      <alignment horizontal="left"/>
    </xf>
    <xf numFmtId="172" fontId="61" fillId="0" borderId="0" xfId="847" applyFont="1" applyFill="1" applyBorder="1"/>
    <xf numFmtId="172" fontId="61" fillId="0" borderId="0" xfId="847" applyFont="1" applyFill="1" applyBorder="1" applyAlignment="1">
      <alignment horizontal="right"/>
    </xf>
    <xf numFmtId="174" fontId="61" fillId="0" borderId="0" xfId="847" applyNumberFormat="1" applyFont="1" applyFill="1" applyBorder="1" applyAlignment="1" applyProtection="1">
      <alignment horizontal="center"/>
    </xf>
    <xf numFmtId="0" fontId="61" fillId="0" borderId="0" xfId="0" applyFont="1" applyFill="1" applyAlignment="1">
      <alignment horizontal="center"/>
    </xf>
    <xf numFmtId="0" fontId="60" fillId="0" borderId="0" xfId="0" applyFont="1" applyFill="1" applyAlignment="1">
      <alignment horizontal="center"/>
    </xf>
    <xf numFmtId="0" fontId="60" fillId="0" borderId="0" xfId="0" applyFont="1" applyFill="1" applyAlignment="1">
      <alignment horizontal="right"/>
    </xf>
    <xf numFmtId="172" fontId="60" fillId="0" borderId="0" xfId="847" applyFont="1" applyFill="1" applyBorder="1" applyAlignment="1">
      <alignment horizontal="center"/>
    </xf>
    <xf numFmtId="0" fontId="60" fillId="0" borderId="0" xfId="844" applyFont="1" applyFill="1" applyBorder="1" applyAlignment="1">
      <alignment horizontal="center"/>
    </xf>
    <xf numFmtId="0" fontId="60" fillId="0" borderId="0" xfId="0" quotePrefix="1" applyFont="1" applyFill="1" applyAlignment="1">
      <alignment horizontal="center"/>
    </xf>
    <xf numFmtId="0" fontId="60" fillId="0" borderId="0" xfId="0" quotePrefix="1" applyFont="1" applyFill="1" applyAlignment="1">
      <alignment horizontal="right"/>
    </xf>
    <xf numFmtId="0" fontId="60" fillId="0" borderId="14" xfId="0" applyFont="1" applyFill="1" applyBorder="1"/>
    <xf numFmtId="0" fontId="60" fillId="0" borderId="14" xfId="0" applyFont="1" applyFill="1" applyBorder="1" applyAlignment="1">
      <alignment horizontal="center" wrapText="1"/>
    </xf>
    <xf numFmtId="0" fontId="60" fillId="0" borderId="14" xfId="844" applyFont="1" applyFill="1" applyBorder="1" applyAlignment="1">
      <alignment horizontal="center"/>
    </xf>
    <xf numFmtId="0" fontId="60" fillId="0" borderId="14" xfId="0" applyFont="1" applyFill="1" applyBorder="1" applyAlignment="1">
      <alignment horizontal="right"/>
    </xf>
    <xf numFmtId="0" fontId="60" fillId="0" borderId="14" xfId="0" applyFont="1" applyFill="1" applyBorder="1" applyAlignment="1">
      <alignment horizontal="center"/>
    </xf>
    <xf numFmtId="0" fontId="60" fillId="0" borderId="0" xfId="0" applyFont="1" applyFill="1" applyBorder="1"/>
    <xf numFmtId="0" fontId="60" fillId="0" borderId="0" xfId="0" applyFont="1" applyFill="1" applyBorder="1" applyAlignment="1">
      <alignment horizontal="center"/>
    </xf>
    <xf numFmtId="0" fontId="60" fillId="0" borderId="0" xfId="0" applyFont="1" applyFill="1" applyBorder="1" applyAlignment="1">
      <alignment horizontal="right"/>
    </xf>
    <xf numFmtId="0" fontId="62" fillId="0" borderId="0" xfId="0" applyFont="1" applyFill="1"/>
    <xf numFmtId="0" fontId="60" fillId="0" borderId="0" xfId="0" applyFont="1" applyFill="1"/>
    <xf numFmtId="0" fontId="61" fillId="0" borderId="0" xfId="0" applyFont="1" applyFill="1" applyAlignment="1">
      <alignment horizontal="right"/>
    </xf>
    <xf numFmtId="0" fontId="61" fillId="0" borderId="0" xfId="844" applyFont="1" applyFill="1"/>
    <xf numFmtId="164" fontId="61" fillId="0" borderId="0" xfId="1" applyNumberFormat="1" applyFont="1" applyFill="1"/>
    <xf numFmtId="165" fontId="61" fillId="0" borderId="0" xfId="0" applyNumberFormat="1" applyFont="1" applyFill="1"/>
    <xf numFmtId="44" fontId="61" fillId="0" borderId="0" xfId="4" applyFont="1" applyFill="1"/>
    <xf numFmtId="0" fontId="61" fillId="0" borderId="1" xfId="0" quotePrefix="1" applyFont="1" applyFill="1" applyBorder="1" applyAlignment="1">
      <alignment horizontal="left"/>
    </xf>
    <xf numFmtId="177" fontId="61" fillId="0" borderId="0" xfId="4" applyNumberFormat="1" applyFont="1" applyFill="1"/>
    <xf numFmtId="165" fontId="61" fillId="0" borderId="1" xfId="0" applyNumberFormat="1" applyFont="1" applyFill="1" applyBorder="1"/>
    <xf numFmtId="37" fontId="61" fillId="0" borderId="0" xfId="3" applyNumberFormat="1" applyFont="1" applyFill="1" applyAlignment="1">
      <alignment horizontal="center"/>
    </xf>
    <xf numFmtId="0" fontId="61" fillId="0" borderId="0" xfId="0" quotePrefix="1" applyFont="1" applyFill="1" applyAlignment="1">
      <alignment horizontal="left"/>
    </xf>
    <xf numFmtId="187" fontId="61" fillId="0" borderId="0" xfId="4" applyNumberFormat="1" applyFont="1" applyFill="1"/>
    <xf numFmtId="165" fontId="60" fillId="0" borderId="0" xfId="0" applyNumberFormat="1" applyFont="1" applyFill="1"/>
    <xf numFmtId="37" fontId="61" fillId="0" borderId="0" xfId="0" applyNumberFormat="1" applyFont="1" applyFill="1" applyAlignment="1">
      <alignment horizontal="center"/>
    </xf>
    <xf numFmtId="0" fontId="53" fillId="0" borderId="0" xfId="0" applyFont="1" applyFill="1" applyAlignment="1">
      <alignment horizontal="center"/>
    </xf>
    <xf numFmtId="165" fontId="60" fillId="0" borderId="15" xfId="844" applyNumberFormat="1" applyFont="1" applyFill="1" applyBorder="1"/>
    <xf numFmtId="165" fontId="60" fillId="0" borderId="0" xfId="844" applyNumberFormat="1" applyFont="1" applyFill="1" applyBorder="1"/>
    <xf numFmtId="164" fontId="53" fillId="0" borderId="0" xfId="3" applyNumberFormat="1" applyFont="1"/>
    <xf numFmtId="165" fontId="53" fillId="0" borderId="0" xfId="0" applyNumberFormat="1" applyFont="1"/>
    <xf numFmtId="0" fontId="61" fillId="0" borderId="0" xfId="0" applyFont="1" applyFill="1" applyAlignment="1">
      <alignment horizontal="left"/>
    </xf>
    <xf numFmtId="164" fontId="53" fillId="0" borderId="0" xfId="0" applyNumberFormat="1" applyFont="1"/>
    <xf numFmtId="10" fontId="61" fillId="0" borderId="0" xfId="10" applyNumberFormat="1" applyFont="1" applyFill="1" applyBorder="1"/>
    <xf numFmtId="0" fontId="63" fillId="0" borderId="0" xfId="844" applyFont="1" applyFill="1"/>
    <xf numFmtId="10" fontId="64" fillId="0" borderId="0" xfId="8" applyNumberFormat="1" applyFont="1" applyFill="1"/>
    <xf numFmtId="43" fontId="53" fillId="0" borderId="0" xfId="0" applyNumberFormat="1" applyFont="1"/>
    <xf numFmtId="0" fontId="65" fillId="0" borderId="0" xfId="0" applyFont="1"/>
    <xf numFmtId="0" fontId="63" fillId="0" borderId="0" xfId="0" applyFont="1" applyFill="1"/>
    <xf numFmtId="168" fontId="61" fillId="0" borderId="0" xfId="4" applyNumberFormat="1" applyFont="1" applyFill="1"/>
    <xf numFmtId="44" fontId="61" fillId="0" borderId="0" xfId="0" applyNumberFormat="1" applyFont="1" applyFill="1"/>
    <xf numFmtId="164" fontId="65" fillId="0" borderId="0" xfId="3" applyNumberFormat="1" applyFont="1"/>
    <xf numFmtId="10" fontId="64" fillId="0" borderId="0" xfId="0" applyNumberFormat="1" applyFont="1" applyFill="1"/>
    <xf numFmtId="0" fontId="61" fillId="0" borderId="0" xfId="0" applyFont="1" applyFill="1" applyAlignment="1">
      <alignment horizontal="center" wrapText="1"/>
    </xf>
    <xf numFmtId="42" fontId="61" fillId="0" borderId="0" xfId="0" applyNumberFormat="1" applyFont="1" applyFill="1"/>
    <xf numFmtId="0" fontId="61" fillId="0" borderId="1" xfId="0" applyFont="1" applyFill="1" applyBorder="1"/>
    <xf numFmtId="42" fontId="61" fillId="0" borderId="1" xfId="0" applyNumberFormat="1" applyFont="1" applyFill="1" applyBorder="1"/>
    <xf numFmtId="187" fontId="53" fillId="0" borderId="0" xfId="0" applyNumberFormat="1" applyFont="1"/>
    <xf numFmtId="42" fontId="53" fillId="0" borderId="0" xfId="0" applyNumberFormat="1" applyFont="1"/>
    <xf numFmtId="44" fontId="53" fillId="0" borderId="0" xfId="4" applyFont="1"/>
    <xf numFmtId="181" fontId="61" fillId="0" borderId="0" xfId="0" applyNumberFormat="1" applyFont="1" applyFill="1"/>
    <xf numFmtId="44" fontId="53" fillId="0" borderId="0" xfId="0" applyNumberFormat="1" applyFont="1"/>
    <xf numFmtId="44" fontId="61" fillId="0" borderId="0" xfId="4" applyNumberFormat="1" applyFont="1" applyFill="1"/>
    <xf numFmtId="181" fontId="61" fillId="0" borderId="1" xfId="0" applyNumberFormat="1" applyFont="1" applyFill="1" applyBorder="1"/>
    <xf numFmtId="164" fontId="61" fillId="0" borderId="0" xfId="0" applyNumberFormat="1" applyFont="1" applyFill="1"/>
    <xf numFmtId="43" fontId="61" fillId="0" borderId="0" xfId="0" applyNumberFormat="1" applyFont="1" applyFill="1" applyBorder="1"/>
    <xf numFmtId="42" fontId="61" fillId="0" borderId="0" xfId="0" applyNumberFormat="1" applyFont="1" applyFill="1" applyBorder="1"/>
    <xf numFmtId="165" fontId="53" fillId="0" borderId="0" xfId="4" applyNumberFormat="1" applyFont="1"/>
    <xf numFmtId="165" fontId="65" fillId="0" borderId="0" xfId="0" applyNumberFormat="1" applyFont="1" applyFill="1"/>
    <xf numFmtId="165" fontId="60" fillId="0" borderId="0" xfId="0" applyNumberFormat="1" applyFont="1" applyFill="1" applyBorder="1"/>
    <xf numFmtId="165" fontId="61" fillId="0" borderId="0" xfId="0" applyNumberFormat="1" applyFont="1" applyFill="1" applyBorder="1"/>
    <xf numFmtId="0" fontId="53" fillId="0" borderId="0" xfId="0" quotePrefix="1" applyFont="1" applyFill="1" applyAlignment="1">
      <alignment horizontal="left"/>
    </xf>
    <xf numFmtId="0" fontId="61" fillId="0" borderId="0" xfId="0" applyFont="1" applyFill="1" applyBorder="1"/>
    <xf numFmtId="164" fontId="61" fillId="0" borderId="0" xfId="3" applyNumberFormat="1" applyFont="1" applyFill="1" applyAlignment="1">
      <alignment horizontal="center"/>
    </xf>
    <xf numFmtId="168" fontId="61" fillId="0" borderId="0" xfId="0" applyNumberFormat="1" applyFont="1" applyFill="1"/>
    <xf numFmtId="164" fontId="60" fillId="0" borderId="0" xfId="0" applyNumberFormat="1" applyFont="1" applyFill="1"/>
    <xf numFmtId="43" fontId="61" fillId="0" borderId="0" xfId="0" applyNumberFormat="1" applyFont="1" applyFill="1"/>
    <xf numFmtId="164" fontId="61" fillId="0" borderId="0" xfId="0" applyNumberFormat="1" applyFont="1" applyFill="1" applyBorder="1"/>
    <xf numFmtId="0" fontId="53" fillId="0" borderId="0" xfId="0" applyFont="1" applyFill="1" applyAlignment="1">
      <alignment horizontal="left"/>
    </xf>
    <xf numFmtId="165" fontId="61" fillId="0" borderId="0" xfId="844" applyNumberFormat="1" applyFont="1" applyFill="1" applyBorder="1"/>
    <xf numFmtId="0" fontId="62" fillId="0" borderId="0" xfId="0" quotePrefix="1" applyFont="1" applyFill="1" applyAlignment="1">
      <alignment horizontal="left"/>
    </xf>
    <xf numFmtId="0" fontId="60" fillId="0" borderId="0" xfId="844" applyFont="1" applyFill="1"/>
    <xf numFmtId="0" fontId="61" fillId="0" borderId="0" xfId="0" applyFont="1" applyFill="1" applyBorder="1" applyAlignment="1">
      <alignment horizontal="center"/>
    </xf>
    <xf numFmtId="173" fontId="61" fillId="0" borderId="0" xfId="0" applyNumberFormat="1" applyFont="1" applyFill="1"/>
    <xf numFmtId="173" fontId="61" fillId="0" borderId="0" xfId="0" applyNumberFormat="1" applyFont="1" applyFill="1" applyAlignment="1">
      <alignment horizontal="center"/>
    </xf>
    <xf numFmtId="187" fontId="61" fillId="0" borderId="0" xfId="0" applyNumberFormat="1" applyFont="1" applyFill="1"/>
    <xf numFmtId="42" fontId="60" fillId="0" borderId="0" xfId="0" applyNumberFormat="1" applyFont="1" applyFill="1"/>
    <xf numFmtId="0" fontId="60" fillId="0" borderId="0" xfId="0" applyFont="1" applyFill="1" applyAlignment="1"/>
    <xf numFmtId="165" fontId="53" fillId="0" borderId="0" xfId="0" applyNumberFormat="1" applyFont="1" applyFill="1"/>
    <xf numFmtId="0" fontId="61" fillId="0" borderId="1" xfId="844" applyFont="1" applyFill="1" applyBorder="1"/>
    <xf numFmtId="164" fontId="61" fillId="0" borderId="0" xfId="0" applyNumberFormat="1" applyFont="1" applyFill="1" applyAlignment="1">
      <alignment horizontal="center"/>
    </xf>
    <xf numFmtId="42" fontId="60" fillId="0" borderId="0" xfId="0" applyNumberFormat="1" applyFont="1" applyFill="1" applyBorder="1"/>
    <xf numFmtId="177" fontId="61" fillId="0" borderId="0" xfId="0" applyNumberFormat="1" applyFont="1" applyFill="1"/>
    <xf numFmtId="0" fontId="60" fillId="0" borderId="0" xfId="0" quotePrefix="1" applyFont="1" applyFill="1" applyAlignment="1">
      <alignment horizontal="left"/>
    </xf>
    <xf numFmtId="42" fontId="60" fillId="0" borderId="15" xfId="0" applyNumberFormat="1" applyFont="1" applyFill="1" applyBorder="1"/>
    <xf numFmtId="1" fontId="53" fillId="0" borderId="0" xfId="0" applyNumberFormat="1" applyFont="1"/>
    <xf numFmtId="10" fontId="61" fillId="0" borderId="0" xfId="10" applyNumberFormat="1" applyFont="1" applyFill="1"/>
    <xf numFmtId="0" fontId="60" fillId="0" borderId="0" xfId="0" quotePrefix="1" applyFont="1" applyFill="1" applyProtection="1"/>
    <xf numFmtId="2" fontId="61" fillId="0" borderId="0" xfId="4" applyNumberFormat="1" applyFont="1" applyFill="1"/>
    <xf numFmtId="2" fontId="61" fillId="0" borderId="0" xfId="0" applyNumberFormat="1" applyFont="1" applyFill="1"/>
    <xf numFmtId="189" fontId="61" fillId="0" borderId="0" xfId="4" applyNumberFormat="1" applyFont="1" applyFill="1"/>
    <xf numFmtId="0" fontId="61" fillId="0" borderId="0" xfId="844" applyFont="1" applyFill="1" applyAlignment="1">
      <alignment horizontal="left" indent="1"/>
    </xf>
    <xf numFmtId="10" fontId="53" fillId="0" borderId="0" xfId="10" applyNumberFormat="1" applyFont="1"/>
    <xf numFmtId="0" fontId="61" fillId="0" borderId="0" xfId="0" quotePrefix="1" applyFont="1" applyFill="1"/>
    <xf numFmtId="41" fontId="61" fillId="0" borderId="0" xfId="848" applyFont="1" applyBorder="1"/>
    <xf numFmtId="41" fontId="60" fillId="0" borderId="0" xfId="848" quotePrefix="1" applyFont="1" applyBorder="1" applyAlignment="1">
      <alignment horizontal="right"/>
    </xf>
    <xf numFmtId="0" fontId="53" fillId="0" borderId="0" xfId="0" applyFont="1" applyBorder="1"/>
    <xf numFmtId="41" fontId="61" fillId="0" borderId="0" xfId="848" applyFont="1"/>
    <xf numFmtId="41" fontId="60" fillId="0" borderId="0" xfId="848" applyFont="1" applyBorder="1" applyAlignment="1">
      <alignment horizontal="right"/>
    </xf>
    <xf numFmtId="0" fontId="57" fillId="0" borderId="0" xfId="0" applyFont="1" applyBorder="1" applyAlignment="1">
      <alignment horizontal="right"/>
    </xf>
    <xf numFmtId="0" fontId="57" fillId="0" borderId="0" xfId="0" applyFont="1" applyBorder="1" applyAlignment="1">
      <alignment horizontal="center"/>
    </xf>
    <xf numFmtId="0" fontId="57" fillId="0" borderId="14" xfId="0" applyFont="1" applyBorder="1" applyAlignment="1">
      <alignment horizontal="left"/>
    </xf>
    <xf numFmtId="0" fontId="57" fillId="0" borderId="14" xfId="0" applyFont="1" applyBorder="1" applyAlignment="1">
      <alignment horizontal="center"/>
    </xf>
    <xf numFmtId="0" fontId="53" fillId="0" borderId="0" xfId="0" applyFont="1" applyAlignment="1">
      <alignment horizontal="center"/>
    </xf>
    <xf numFmtId="165" fontId="53" fillId="0" borderId="0" xfId="846" applyNumberFormat="1" applyFont="1" applyAlignment="1">
      <alignment horizontal="center"/>
    </xf>
    <xf numFmtId="165" fontId="53" fillId="0" borderId="0" xfId="4" applyNumberFormat="1" applyFont="1" applyAlignment="1">
      <alignment horizontal="center"/>
    </xf>
    <xf numFmtId="10" fontId="53" fillId="0" borderId="0" xfId="0" applyNumberFormat="1" applyFont="1" applyAlignment="1">
      <alignment horizontal="center"/>
    </xf>
    <xf numFmtId="10" fontId="53" fillId="0" borderId="0" xfId="10" applyNumberFormat="1" applyFont="1" applyAlignment="1">
      <alignment horizontal="center"/>
    </xf>
    <xf numFmtId="165" fontId="53" fillId="0" borderId="0" xfId="4" applyNumberFormat="1" applyFont="1" applyFill="1" applyAlignment="1">
      <alignment horizontal="center"/>
    </xf>
    <xf numFmtId="10" fontId="53" fillId="0" borderId="0" xfId="10" applyNumberFormat="1" applyFont="1" applyFill="1" applyAlignment="1">
      <alignment horizontal="center"/>
    </xf>
    <xf numFmtId="165" fontId="53" fillId="0" borderId="3" xfId="846" applyNumberFormat="1" applyFont="1" applyFill="1" applyBorder="1" applyAlignment="1">
      <alignment horizontal="center"/>
    </xf>
    <xf numFmtId="10" fontId="53" fillId="0" borderId="3" xfId="10" applyNumberFormat="1" applyFont="1" applyFill="1" applyBorder="1" applyAlignment="1">
      <alignment horizontal="center"/>
    </xf>
    <xf numFmtId="164" fontId="53" fillId="0" borderId="0" xfId="843" applyNumberFormat="1" applyFont="1" applyFill="1" applyAlignment="1">
      <alignment horizontal="center"/>
    </xf>
    <xf numFmtId="165" fontId="53" fillId="0" borderId="0" xfId="843" applyNumberFormat="1" applyFont="1" applyFill="1" applyAlignment="1">
      <alignment horizontal="center"/>
    </xf>
    <xf numFmtId="9" fontId="53" fillId="0" borderId="0" xfId="0" applyNumberFormat="1" applyFont="1"/>
    <xf numFmtId="43" fontId="60" fillId="0" borderId="0" xfId="9" quotePrefix="1" applyFont="1" applyAlignment="1">
      <alignment horizontal="left"/>
    </xf>
    <xf numFmtId="0" fontId="57" fillId="0" borderId="0" xfId="0" quotePrefix="1" applyFont="1" applyAlignment="1">
      <alignment horizontal="right"/>
    </xf>
    <xf numFmtId="41" fontId="60" fillId="0" borderId="0" xfId="848" applyFont="1" applyFill="1" applyAlignment="1">
      <alignment horizontal="left"/>
    </xf>
    <xf numFmtId="0" fontId="57" fillId="0" borderId="0" xfId="0" applyFont="1" applyAlignment="1">
      <alignment horizontal="right"/>
    </xf>
    <xf numFmtId="0" fontId="53" fillId="0" borderId="14" xfId="0" applyFont="1" applyBorder="1"/>
    <xf numFmtId="0" fontId="53" fillId="0" borderId="14" xfId="0" applyFont="1" applyBorder="1" applyAlignment="1">
      <alignment horizontal="center" wrapText="1"/>
    </xf>
    <xf numFmtId="0" fontId="53" fillId="0" borderId="14" xfId="0" quotePrefix="1" applyFont="1" applyBorder="1" applyAlignment="1">
      <alignment horizontal="center" wrapText="1"/>
    </xf>
    <xf numFmtId="0" fontId="53" fillId="0" borderId="0" xfId="0" applyFont="1" applyBorder="1" applyAlignment="1">
      <alignment horizontal="center" wrapText="1"/>
    </xf>
    <xf numFmtId="0" fontId="53" fillId="0" borderId="0" xfId="0" applyFont="1" applyAlignment="1">
      <alignment horizontal="center" wrapText="1"/>
    </xf>
    <xf numFmtId="180" fontId="53" fillId="0" borderId="0" xfId="0" applyNumberFormat="1" applyFont="1" applyAlignment="1">
      <alignment horizontal="center" wrapText="1"/>
    </xf>
    <xf numFmtId="180" fontId="53" fillId="0" borderId="0" xfId="0" applyNumberFormat="1" applyFont="1" applyFill="1" applyAlignment="1">
      <alignment horizontal="center" wrapText="1"/>
    </xf>
    <xf numFmtId="41" fontId="61" fillId="0" borderId="0" xfId="848" quotePrefix="1" applyFont="1" applyAlignment="1">
      <alignment horizontal="left"/>
    </xf>
    <xf numFmtId="37" fontId="53" fillId="0" borderId="0" xfId="0" applyNumberFormat="1" applyFont="1" applyAlignment="1">
      <alignment horizontal="center"/>
    </xf>
    <xf numFmtId="175" fontId="53" fillId="0" borderId="0" xfId="0" applyNumberFormat="1" applyFont="1" applyAlignment="1">
      <alignment horizontal="center"/>
    </xf>
    <xf numFmtId="44" fontId="53" fillId="0" borderId="0" xfId="4" applyNumberFormat="1" applyFont="1" applyAlignment="1">
      <alignment horizontal="center"/>
    </xf>
    <xf numFmtId="44" fontId="53" fillId="0" borderId="0" xfId="4" applyNumberFormat="1" applyFont="1" applyFill="1" applyAlignment="1">
      <alignment horizontal="center"/>
    </xf>
    <xf numFmtId="44" fontId="53" fillId="0" borderId="0" xfId="0" applyNumberFormat="1" applyFont="1" applyAlignment="1">
      <alignment horizontal="center"/>
    </xf>
    <xf numFmtId="37" fontId="53" fillId="0" borderId="0" xfId="0" applyNumberFormat="1" applyFont="1" applyFill="1" applyAlignment="1">
      <alignment horizontal="center"/>
    </xf>
    <xf numFmtId="175" fontId="53" fillId="0" borderId="0" xfId="0" applyNumberFormat="1" applyFont="1" applyFill="1" applyAlignment="1">
      <alignment horizontal="center"/>
    </xf>
    <xf numFmtId="1" fontId="53" fillId="0" borderId="0" xfId="0" applyNumberFormat="1" applyFont="1" applyFill="1" applyAlignment="1">
      <alignment horizontal="center"/>
    </xf>
    <xf numFmtId="44" fontId="53" fillId="0" borderId="0" xfId="4" applyFont="1" applyAlignment="1">
      <alignment horizontal="center"/>
    </xf>
    <xf numFmtId="37" fontId="53" fillId="0" borderId="0" xfId="0" applyNumberFormat="1" applyFont="1"/>
    <xf numFmtId="165" fontId="53" fillId="0" borderId="0" xfId="4" applyNumberFormat="1" applyFont="1" applyFill="1"/>
    <xf numFmtId="0" fontId="53" fillId="0" borderId="0" xfId="0" applyFont="1" applyAlignment="1">
      <alignment horizontal="right"/>
    </xf>
    <xf numFmtId="41" fontId="61" fillId="0" borderId="0" xfId="848" applyFont="1" applyFill="1"/>
    <xf numFmtId="41" fontId="60" fillId="0" borderId="0" xfId="848" applyFont="1" applyFill="1"/>
    <xf numFmtId="164" fontId="53" fillId="0" borderId="0" xfId="9" applyNumberFormat="1" applyFont="1"/>
    <xf numFmtId="0" fontId="53" fillId="0" borderId="0" xfId="0" applyFont="1" applyAlignment="1">
      <alignment horizontal="left" indent="1"/>
    </xf>
    <xf numFmtId="164" fontId="53" fillId="0" borderId="0" xfId="9" applyNumberFormat="1" applyFont="1" applyFill="1"/>
    <xf numFmtId="164" fontId="66" fillId="0" borderId="0" xfId="9" applyNumberFormat="1" applyFont="1"/>
    <xf numFmtId="0" fontId="53" fillId="0" borderId="0" xfId="0" applyFont="1" applyAlignment="1">
      <alignment horizontal="left"/>
    </xf>
    <xf numFmtId="164" fontId="67" fillId="0" borderId="0" xfId="9" applyNumberFormat="1" applyFont="1"/>
    <xf numFmtId="164" fontId="68" fillId="0" borderId="0" xfId="9" applyNumberFormat="1" applyFont="1"/>
    <xf numFmtId="165" fontId="68" fillId="0" borderId="0" xfId="0" applyNumberFormat="1" applyFont="1"/>
    <xf numFmtId="37" fontId="53" fillId="56" borderId="0" xfId="0" applyNumberFormat="1" applyFont="1" applyFill="1"/>
    <xf numFmtId="0" fontId="53" fillId="56" borderId="0" xfId="0" applyFont="1" applyFill="1"/>
    <xf numFmtId="37" fontId="53" fillId="0" borderId="0" xfId="0" applyNumberFormat="1" applyFont="1" applyFill="1"/>
    <xf numFmtId="165" fontId="66" fillId="0" borderId="0" xfId="4" applyNumberFormat="1" applyFont="1"/>
    <xf numFmtId="0" fontId="53" fillId="0" borderId="0" xfId="0" quotePrefix="1" applyFont="1" applyAlignment="1">
      <alignment horizontal="left"/>
    </xf>
    <xf numFmtId="165" fontId="68" fillId="0" borderId="0" xfId="4" applyNumberFormat="1" applyFont="1"/>
    <xf numFmtId="0" fontId="57" fillId="0" borderId="0" xfId="0" applyFont="1" applyAlignment="1"/>
    <xf numFmtId="41" fontId="57" fillId="0" borderId="0" xfId="0" applyNumberFormat="1" applyFont="1"/>
    <xf numFmtId="41" fontId="57" fillId="0" borderId="0" xfId="0" applyNumberFormat="1" applyFont="1" applyAlignment="1">
      <alignment horizontal="right"/>
    </xf>
    <xf numFmtId="41" fontId="61" fillId="0" borderId="14" xfId="848" applyFont="1" applyBorder="1" applyAlignment="1">
      <alignment horizontal="center"/>
    </xf>
    <xf numFmtId="41" fontId="61" fillId="0" borderId="14" xfId="848" quotePrefix="1" applyFont="1" applyBorder="1" applyAlignment="1">
      <alignment horizontal="center" wrapText="1"/>
    </xf>
    <xf numFmtId="165" fontId="61" fillId="0" borderId="14" xfId="435" quotePrefix="1" applyNumberFormat="1" applyFont="1" applyBorder="1" applyAlignment="1">
      <alignment horizontal="center" wrapText="1"/>
    </xf>
    <xf numFmtId="41" fontId="61" fillId="0" borderId="0" xfId="848" quotePrefix="1" applyFont="1" applyAlignment="1">
      <alignment horizontal="center"/>
    </xf>
    <xf numFmtId="165" fontId="61" fillId="0" borderId="0" xfId="4" applyNumberFormat="1" applyFont="1" applyFill="1"/>
    <xf numFmtId="10" fontId="61" fillId="0" borderId="0" xfId="10" applyNumberFormat="1" applyFont="1" applyAlignment="1">
      <alignment horizontal="center"/>
    </xf>
    <xf numFmtId="165" fontId="61" fillId="0" borderId="0" xfId="4" applyNumberFormat="1" applyFont="1" applyFill="1" applyBorder="1"/>
    <xf numFmtId="10" fontId="61" fillId="0" borderId="0" xfId="10" applyNumberFormat="1" applyFont="1" applyBorder="1" applyAlignment="1">
      <alignment horizontal="center"/>
    </xf>
    <xf numFmtId="41" fontId="60" fillId="0" borderId="0" xfId="848" applyFont="1"/>
    <xf numFmtId="165" fontId="61" fillId="0" borderId="3" xfId="4" applyNumberFormat="1" applyFont="1" applyBorder="1"/>
    <xf numFmtId="10" fontId="61" fillId="0" borderId="3" xfId="10" applyNumberFormat="1" applyFont="1" applyBorder="1" applyAlignment="1">
      <alignment horizontal="center"/>
    </xf>
    <xf numFmtId="41" fontId="61" fillId="0" borderId="0" xfId="848" quotePrefix="1" applyFont="1" applyAlignment="1">
      <alignment horizontal="left" indent="1"/>
    </xf>
    <xf numFmtId="165" fontId="53" fillId="0" borderId="2" xfId="0" applyNumberFormat="1" applyFont="1" applyBorder="1"/>
    <xf numFmtId="164" fontId="61" fillId="0" borderId="0" xfId="3" applyNumberFormat="1" applyFont="1" applyFill="1"/>
    <xf numFmtId="181" fontId="60" fillId="0" borderId="0" xfId="0" applyNumberFormat="1" applyFont="1" applyFill="1"/>
    <xf numFmtId="189" fontId="61" fillId="0" borderId="0" xfId="0" applyNumberFormat="1" applyFont="1" applyFill="1"/>
    <xf numFmtId="165" fontId="53" fillId="0" borderId="0" xfId="846" applyNumberFormat="1" applyFont="1" applyFill="1" applyAlignment="1">
      <alignment horizontal="center"/>
    </xf>
    <xf numFmtId="41" fontId="53" fillId="0" borderId="0" xfId="0" applyNumberFormat="1" applyFont="1" applyFill="1" applyAlignment="1">
      <alignment horizontal="left" indent="1"/>
    </xf>
    <xf numFmtId="190" fontId="53" fillId="0" borderId="0" xfId="0" applyNumberFormat="1" applyFont="1" applyAlignment="1">
      <alignment horizontal="center"/>
    </xf>
    <xf numFmtId="191" fontId="53" fillId="0" borderId="0" xfId="0" applyNumberFormat="1" applyFont="1" applyAlignment="1">
      <alignment horizontal="center"/>
    </xf>
    <xf numFmtId="175" fontId="61" fillId="0" borderId="0" xfId="3" applyNumberFormat="1" applyFont="1" applyFill="1" applyAlignment="1">
      <alignment horizontal="center"/>
    </xf>
    <xf numFmtId="43" fontId="53" fillId="0" borderId="0" xfId="3" applyFont="1"/>
    <xf numFmtId="172" fontId="61" fillId="0" borderId="0" xfId="847" quotePrefix="1" applyFont="1" applyFill="1" applyBorder="1" applyAlignment="1">
      <alignment horizontal="center"/>
    </xf>
    <xf numFmtId="172" fontId="61" fillId="0" borderId="0" xfId="847" applyFont="1" applyFill="1" applyBorder="1" applyAlignment="1">
      <alignment horizontal="center"/>
    </xf>
    <xf numFmtId="177" fontId="61" fillId="0" borderId="0" xfId="4" applyNumberFormat="1" applyFont="1" applyFill="1" applyBorder="1"/>
    <xf numFmtId="44" fontId="61" fillId="0" borderId="0" xfId="4" applyNumberFormat="1" applyFont="1" applyFill="1" applyBorder="1"/>
    <xf numFmtId="44" fontId="60" fillId="0" borderId="0" xfId="4" applyFont="1" applyFill="1"/>
    <xf numFmtId="43" fontId="57" fillId="0" borderId="0" xfId="0" applyNumberFormat="1" applyFont="1"/>
    <xf numFmtId="0" fontId="53" fillId="57" borderId="0" xfId="0" applyFont="1" applyFill="1"/>
    <xf numFmtId="164" fontId="53" fillId="57" borderId="0" xfId="3" applyNumberFormat="1" applyFont="1" applyFill="1"/>
    <xf numFmtId="164" fontId="53" fillId="57" borderId="0" xfId="0" applyNumberFormat="1" applyFont="1" applyFill="1"/>
    <xf numFmtId="41" fontId="5" fillId="0" borderId="0" xfId="848" applyFont="1"/>
    <xf numFmtId="0" fontId="61" fillId="0" borderId="0" xfId="848" applyNumberFormat="1" applyFont="1"/>
    <xf numFmtId="0" fontId="69" fillId="0" borderId="0" xfId="848" applyNumberFormat="1" applyFont="1" applyAlignment="1">
      <alignment horizontal="center"/>
    </xf>
    <xf numFmtId="0" fontId="61" fillId="0" borderId="0" xfId="848" applyNumberFormat="1" applyFont="1" applyAlignment="1">
      <alignment horizontal="left" indent="2"/>
    </xf>
    <xf numFmtId="41" fontId="70" fillId="0" borderId="0" xfId="848" applyFont="1"/>
    <xf numFmtId="41" fontId="69" fillId="0" borderId="0" xfId="848" applyFont="1" applyFill="1"/>
    <xf numFmtId="43" fontId="53" fillId="0" borderId="0" xfId="3" applyNumberFormat="1" applyFont="1"/>
    <xf numFmtId="10" fontId="61" fillId="0" borderId="2" xfId="10" applyNumberFormat="1" applyFont="1" applyBorder="1" applyAlignment="1">
      <alignment horizontal="center"/>
    </xf>
    <xf numFmtId="44" fontId="0" fillId="0" borderId="0" xfId="0" applyNumberFormat="1" applyFont="1"/>
    <xf numFmtId="44" fontId="61" fillId="0" borderId="0" xfId="4" applyFont="1" applyFill="1" applyBorder="1"/>
    <xf numFmtId="10" fontId="61" fillId="0" borderId="0" xfId="8" applyNumberFormat="1" applyFont="1" applyFill="1" applyBorder="1"/>
    <xf numFmtId="165" fontId="71" fillId="0" borderId="0" xfId="0" applyNumberFormat="1" applyFont="1"/>
    <xf numFmtId="165" fontId="53" fillId="0" borderId="0" xfId="0" applyNumberFormat="1" applyFont="1" applyBorder="1"/>
    <xf numFmtId="165" fontId="69" fillId="0" borderId="0" xfId="4" quotePrefix="1" applyNumberFormat="1" applyFont="1" applyFill="1"/>
    <xf numFmtId="41" fontId="61" fillId="0" borderId="0" xfId="848" applyFont="1" applyAlignment="1"/>
    <xf numFmtId="0" fontId="61" fillId="0" borderId="0" xfId="848" quotePrefix="1" applyNumberFormat="1" applyFont="1" applyAlignment="1">
      <alignment horizontal="center" wrapText="1"/>
    </xf>
    <xf numFmtId="0" fontId="52" fillId="0" borderId="0" xfId="0" applyFont="1" applyAlignment="1">
      <alignment horizontal="center"/>
    </xf>
    <xf numFmtId="0" fontId="56" fillId="0" borderId="0" xfId="0" applyFont="1" applyAlignment="1">
      <alignment horizontal="center"/>
    </xf>
    <xf numFmtId="0" fontId="60" fillId="0" borderId="14" xfId="0" applyFont="1" applyFill="1" applyBorder="1" applyAlignment="1">
      <alignment horizontal="center"/>
    </xf>
    <xf numFmtId="0" fontId="57" fillId="0" borderId="0" xfId="0" applyFont="1" applyFill="1" applyAlignment="1">
      <alignment horizontal="center"/>
    </xf>
    <xf numFmtId="0" fontId="57" fillId="0" borderId="0" xfId="0" applyFont="1" applyAlignment="1">
      <alignment horizontal="center"/>
    </xf>
    <xf numFmtId="0" fontId="59" fillId="0" borderId="0" xfId="0" applyFont="1" applyAlignment="1">
      <alignment horizontal="center"/>
    </xf>
    <xf numFmtId="41" fontId="60" fillId="0" borderId="0" xfId="0" applyNumberFormat="1" applyFont="1" applyAlignment="1">
      <alignment horizontal="center"/>
    </xf>
    <xf numFmtId="0" fontId="53" fillId="0" borderId="0" xfId="0" applyFont="1" applyFill="1" applyBorder="1" applyAlignment="1">
      <alignment horizontal="center" wrapText="1"/>
    </xf>
  </cellXfs>
  <cellStyles count="849">
    <cellStyle name="20% - Accent1 10" xfId="13"/>
    <cellStyle name="20% - Accent1 11" xfId="14"/>
    <cellStyle name="20% - Accent1 12" xfId="15"/>
    <cellStyle name="20% - Accent1 13" xfId="16"/>
    <cellStyle name="20% - Accent1 14" xfId="17"/>
    <cellStyle name="20% - Accent1 15" xfId="18"/>
    <cellStyle name="20% - Accent1 16" xfId="19"/>
    <cellStyle name="20% - Accent1 2" xfId="20"/>
    <cellStyle name="20% - Accent1 3" xfId="21"/>
    <cellStyle name="20% - Accent1 4" xfId="22"/>
    <cellStyle name="20% - Accent1 5" xfId="23"/>
    <cellStyle name="20% - Accent1 6" xfId="24"/>
    <cellStyle name="20% - Accent1 7" xfId="25"/>
    <cellStyle name="20% - Accent1 8" xfId="26"/>
    <cellStyle name="20% - Accent1 9" xfId="27"/>
    <cellStyle name="20% - Accent2 10" xfId="28"/>
    <cellStyle name="20% - Accent2 11" xfId="29"/>
    <cellStyle name="20% - Accent2 12" xfId="30"/>
    <cellStyle name="20% - Accent2 13" xfId="31"/>
    <cellStyle name="20% - Accent2 14" xfId="32"/>
    <cellStyle name="20% - Accent2 15" xfId="33"/>
    <cellStyle name="20% - Accent2 16" xfId="34"/>
    <cellStyle name="20% - Accent2 2" xfId="35"/>
    <cellStyle name="20% - Accent2 3" xfId="36"/>
    <cellStyle name="20% - Accent2 4" xfId="37"/>
    <cellStyle name="20% - Accent2 5" xfId="38"/>
    <cellStyle name="20% - Accent2 6" xfId="39"/>
    <cellStyle name="20% - Accent2 7" xfId="40"/>
    <cellStyle name="20% - Accent2 8" xfId="41"/>
    <cellStyle name="20% - Accent2 9" xfId="42"/>
    <cellStyle name="20% - Accent3 10" xfId="43"/>
    <cellStyle name="20% - Accent3 11" xfId="44"/>
    <cellStyle name="20% - Accent3 12" xfId="45"/>
    <cellStyle name="20% - Accent3 13" xfId="46"/>
    <cellStyle name="20% - Accent3 14" xfId="47"/>
    <cellStyle name="20% - Accent3 15" xfId="48"/>
    <cellStyle name="20% - Accent3 16" xfId="49"/>
    <cellStyle name="20% - Accent3 2" xfId="50"/>
    <cellStyle name="20% - Accent3 3" xfId="51"/>
    <cellStyle name="20% - Accent3 4" xfId="52"/>
    <cellStyle name="20% - Accent3 5" xfId="53"/>
    <cellStyle name="20% - Accent3 6" xfId="54"/>
    <cellStyle name="20% - Accent3 7" xfId="55"/>
    <cellStyle name="20% - Accent3 8" xfId="56"/>
    <cellStyle name="20% - Accent3 9" xfId="57"/>
    <cellStyle name="20% - Accent4 10" xfId="58"/>
    <cellStyle name="20% - Accent4 11" xfId="59"/>
    <cellStyle name="20% - Accent4 12" xfId="60"/>
    <cellStyle name="20% - Accent4 13" xfId="61"/>
    <cellStyle name="20% - Accent4 14" xfId="62"/>
    <cellStyle name="20% - Accent4 15" xfId="63"/>
    <cellStyle name="20% - Accent4 16" xfId="64"/>
    <cellStyle name="20% - Accent4 2" xfId="65"/>
    <cellStyle name="20% - Accent4 3" xfId="66"/>
    <cellStyle name="20% - Accent4 4" xfId="67"/>
    <cellStyle name="20% - Accent4 5" xfId="68"/>
    <cellStyle name="20% - Accent4 6" xfId="69"/>
    <cellStyle name="20% - Accent4 7" xfId="70"/>
    <cellStyle name="20% - Accent4 8" xfId="71"/>
    <cellStyle name="20% - Accent4 9" xfId="72"/>
    <cellStyle name="20% - Accent5 10" xfId="73"/>
    <cellStyle name="20% - Accent5 11" xfId="74"/>
    <cellStyle name="20% - Accent5 12" xfId="75"/>
    <cellStyle name="20% - Accent5 13" xfId="76"/>
    <cellStyle name="20% - Accent5 14" xfId="77"/>
    <cellStyle name="20% - Accent5 15" xfId="78"/>
    <cellStyle name="20% - Accent5 16" xfId="79"/>
    <cellStyle name="20% - Accent5 2" xfId="80"/>
    <cellStyle name="20% - Accent5 3" xfId="81"/>
    <cellStyle name="20% - Accent5 4" xfId="82"/>
    <cellStyle name="20% - Accent5 5" xfId="83"/>
    <cellStyle name="20% - Accent5 6" xfId="84"/>
    <cellStyle name="20% - Accent5 7" xfId="85"/>
    <cellStyle name="20% - Accent5 8" xfId="86"/>
    <cellStyle name="20% - Accent5 9" xfId="87"/>
    <cellStyle name="20% - Accent6 10" xfId="88"/>
    <cellStyle name="20% - Accent6 11" xfId="89"/>
    <cellStyle name="20% - Accent6 12" xfId="90"/>
    <cellStyle name="20% - Accent6 13" xfId="91"/>
    <cellStyle name="20% - Accent6 14" xfId="92"/>
    <cellStyle name="20% - Accent6 15" xfId="93"/>
    <cellStyle name="20% - Accent6 16" xfId="94"/>
    <cellStyle name="20% - Accent6 2" xfId="95"/>
    <cellStyle name="20% - Accent6 3" xfId="96"/>
    <cellStyle name="20% - Accent6 4" xfId="97"/>
    <cellStyle name="20% - Accent6 5" xfId="98"/>
    <cellStyle name="20% - Accent6 6" xfId="99"/>
    <cellStyle name="20% - Accent6 7" xfId="100"/>
    <cellStyle name="20% - Accent6 8" xfId="101"/>
    <cellStyle name="20% - Accent6 9" xfId="102"/>
    <cellStyle name="40% - Accent1 10" xfId="103"/>
    <cellStyle name="40% - Accent1 11" xfId="104"/>
    <cellStyle name="40% - Accent1 12" xfId="105"/>
    <cellStyle name="40% - Accent1 13" xfId="106"/>
    <cellStyle name="40% - Accent1 14" xfId="107"/>
    <cellStyle name="40% - Accent1 15" xfId="108"/>
    <cellStyle name="40% - Accent1 16"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10" xfId="118"/>
    <cellStyle name="40% - Accent2 11" xfId="119"/>
    <cellStyle name="40% - Accent2 12" xfId="120"/>
    <cellStyle name="40% - Accent2 13" xfId="121"/>
    <cellStyle name="40% - Accent2 14" xfId="122"/>
    <cellStyle name="40% - Accent2 15" xfId="123"/>
    <cellStyle name="40% - Accent2 16" xfId="124"/>
    <cellStyle name="40% - Accent2 2" xfId="125"/>
    <cellStyle name="40% - Accent2 3" xfId="126"/>
    <cellStyle name="40% - Accent2 4" xfId="127"/>
    <cellStyle name="40% - Accent2 5" xfId="128"/>
    <cellStyle name="40% - Accent2 6" xfId="129"/>
    <cellStyle name="40% - Accent2 7" xfId="130"/>
    <cellStyle name="40% - Accent2 8" xfId="131"/>
    <cellStyle name="40% - Accent2 9" xfId="132"/>
    <cellStyle name="40% - Accent3 10" xfId="133"/>
    <cellStyle name="40% - Accent3 11" xfId="134"/>
    <cellStyle name="40% - Accent3 12" xfId="135"/>
    <cellStyle name="40% - Accent3 13" xfId="136"/>
    <cellStyle name="40% - Accent3 14" xfId="137"/>
    <cellStyle name="40% - Accent3 15" xfId="138"/>
    <cellStyle name="40% - Accent3 16" xfId="139"/>
    <cellStyle name="40% - Accent3 2" xfId="140"/>
    <cellStyle name="40% - Accent3 3" xfId="141"/>
    <cellStyle name="40% - Accent3 4" xfId="142"/>
    <cellStyle name="40% - Accent3 5" xfId="143"/>
    <cellStyle name="40% - Accent3 6" xfId="144"/>
    <cellStyle name="40% - Accent3 7" xfId="145"/>
    <cellStyle name="40% - Accent3 8" xfId="146"/>
    <cellStyle name="40% - Accent3 9" xfId="147"/>
    <cellStyle name="40% - Accent4 10" xfId="148"/>
    <cellStyle name="40% - Accent4 11" xfId="149"/>
    <cellStyle name="40% - Accent4 12" xfId="150"/>
    <cellStyle name="40% - Accent4 13" xfId="151"/>
    <cellStyle name="40% - Accent4 14" xfId="152"/>
    <cellStyle name="40% - Accent4 15" xfId="153"/>
    <cellStyle name="40% - Accent4 16" xfId="154"/>
    <cellStyle name="40% - Accent4 2" xfId="155"/>
    <cellStyle name="40% - Accent4 3" xfId="156"/>
    <cellStyle name="40% - Accent4 4" xfId="157"/>
    <cellStyle name="40% - Accent4 5" xfId="158"/>
    <cellStyle name="40% - Accent4 6" xfId="159"/>
    <cellStyle name="40% - Accent4 7" xfId="160"/>
    <cellStyle name="40% - Accent4 8" xfId="161"/>
    <cellStyle name="40% - Accent4 9" xfId="162"/>
    <cellStyle name="40% - Accent5 10" xfId="163"/>
    <cellStyle name="40% - Accent5 11" xfId="164"/>
    <cellStyle name="40% - Accent5 12" xfId="165"/>
    <cellStyle name="40% - Accent5 13" xfId="166"/>
    <cellStyle name="40% - Accent5 14" xfId="167"/>
    <cellStyle name="40% - Accent5 15" xfId="168"/>
    <cellStyle name="40% - Accent5 16" xfId="169"/>
    <cellStyle name="40% - Accent5 2" xfId="170"/>
    <cellStyle name="40% - Accent5 3" xfId="171"/>
    <cellStyle name="40% - Accent5 4" xfId="172"/>
    <cellStyle name="40% - Accent5 5" xfId="173"/>
    <cellStyle name="40% - Accent5 6" xfId="174"/>
    <cellStyle name="40% - Accent5 7" xfId="175"/>
    <cellStyle name="40% - Accent5 8" xfId="176"/>
    <cellStyle name="40% - Accent5 9" xfId="177"/>
    <cellStyle name="40% - Accent6 10" xfId="178"/>
    <cellStyle name="40% - Accent6 11" xfId="179"/>
    <cellStyle name="40% - Accent6 12" xfId="180"/>
    <cellStyle name="40% - Accent6 13" xfId="181"/>
    <cellStyle name="40% - Accent6 14" xfId="182"/>
    <cellStyle name="40% - Accent6 15" xfId="183"/>
    <cellStyle name="40% - Accent6 16" xfId="184"/>
    <cellStyle name="40% - Accent6 2" xfId="185"/>
    <cellStyle name="40% - Accent6 3" xfId="186"/>
    <cellStyle name="40% - Accent6 4" xfId="187"/>
    <cellStyle name="40% - Accent6 5" xfId="188"/>
    <cellStyle name="40% - Accent6 6" xfId="189"/>
    <cellStyle name="40% - Accent6 7" xfId="190"/>
    <cellStyle name="40% - Accent6 8" xfId="191"/>
    <cellStyle name="40% - Accent6 9" xfId="192"/>
    <cellStyle name="60% - Accent1 10" xfId="193"/>
    <cellStyle name="60% - Accent1 11" xfId="194"/>
    <cellStyle name="60% - Accent1 12" xfId="195"/>
    <cellStyle name="60% - Accent1 13" xfId="196"/>
    <cellStyle name="60% - Accent1 14" xfId="197"/>
    <cellStyle name="60% - Accent1 15" xfId="198"/>
    <cellStyle name="60% - Accent1 16" xfId="199"/>
    <cellStyle name="60% - Accent1 2" xfId="200"/>
    <cellStyle name="60% - Accent1 3" xfId="201"/>
    <cellStyle name="60% - Accent1 4" xfId="202"/>
    <cellStyle name="60% - Accent1 5" xfId="203"/>
    <cellStyle name="60% - Accent1 6" xfId="204"/>
    <cellStyle name="60% - Accent1 7" xfId="205"/>
    <cellStyle name="60% - Accent1 8" xfId="206"/>
    <cellStyle name="60% - Accent1 9" xfId="207"/>
    <cellStyle name="60% - Accent2 10" xfId="208"/>
    <cellStyle name="60% - Accent2 11" xfId="209"/>
    <cellStyle name="60% - Accent2 12" xfId="210"/>
    <cellStyle name="60% - Accent2 13" xfId="211"/>
    <cellStyle name="60% - Accent2 14" xfId="212"/>
    <cellStyle name="60% - Accent2 15" xfId="213"/>
    <cellStyle name="60% - Accent2 16" xfId="214"/>
    <cellStyle name="60% - Accent2 2" xfId="215"/>
    <cellStyle name="60% - Accent2 3" xfId="216"/>
    <cellStyle name="60% - Accent2 4" xfId="217"/>
    <cellStyle name="60% - Accent2 5" xfId="218"/>
    <cellStyle name="60% - Accent2 6" xfId="219"/>
    <cellStyle name="60% - Accent2 7" xfId="220"/>
    <cellStyle name="60% - Accent2 8" xfId="221"/>
    <cellStyle name="60% - Accent2 9" xfId="222"/>
    <cellStyle name="60% - Accent3 10" xfId="223"/>
    <cellStyle name="60% - Accent3 11" xfId="224"/>
    <cellStyle name="60% - Accent3 12" xfId="225"/>
    <cellStyle name="60% - Accent3 13" xfId="226"/>
    <cellStyle name="60% - Accent3 14" xfId="227"/>
    <cellStyle name="60% - Accent3 15" xfId="228"/>
    <cellStyle name="60% - Accent3 16" xfId="229"/>
    <cellStyle name="60% - Accent3 2" xfId="230"/>
    <cellStyle name="60% - Accent3 3" xfId="231"/>
    <cellStyle name="60% - Accent3 4" xfId="232"/>
    <cellStyle name="60% - Accent3 5" xfId="233"/>
    <cellStyle name="60% - Accent3 6" xfId="234"/>
    <cellStyle name="60% - Accent3 7" xfId="235"/>
    <cellStyle name="60% - Accent3 8" xfId="236"/>
    <cellStyle name="60% - Accent3 9" xfId="237"/>
    <cellStyle name="60% - Accent4 10" xfId="238"/>
    <cellStyle name="60% - Accent4 11" xfId="239"/>
    <cellStyle name="60% - Accent4 12" xfId="240"/>
    <cellStyle name="60% - Accent4 13" xfId="241"/>
    <cellStyle name="60% - Accent4 14" xfId="242"/>
    <cellStyle name="60% - Accent4 15" xfId="243"/>
    <cellStyle name="60% - Accent4 16" xfId="244"/>
    <cellStyle name="60% - Accent4 2" xfId="245"/>
    <cellStyle name="60% - Accent4 3" xfId="246"/>
    <cellStyle name="60% - Accent4 4" xfId="247"/>
    <cellStyle name="60% - Accent4 5" xfId="248"/>
    <cellStyle name="60% - Accent4 6" xfId="249"/>
    <cellStyle name="60% - Accent4 7" xfId="250"/>
    <cellStyle name="60% - Accent4 8" xfId="251"/>
    <cellStyle name="60% - Accent4 9" xfId="252"/>
    <cellStyle name="60% - Accent5 10" xfId="253"/>
    <cellStyle name="60% - Accent5 11" xfId="254"/>
    <cellStyle name="60% - Accent5 12" xfId="255"/>
    <cellStyle name="60% - Accent5 13" xfId="256"/>
    <cellStyle name="60% - Accent5 14" xfId="257"/>
    <cellStyle name="60% - Accent5 15" xfId="258"/>
    <cellStyle name="60% - Accent5 16" xfId="259"/>
    <cellStyle name="60% - Accent5 2" xfId="260"/>
    <cellStyle name="60% - Accent5 3" xfId="261"/>
    <cellStyle name="60% - Accent5 4" xfId="262"/>
    <cellStyle name="60% - Accent5 5" xfId="263"/>
    <cellStyle name="60% - Accent5 6" xfId="264"/>
    <cellStyle name="60% - Accent5 7" xfId="265"/>
    <cellStyle name="60% - Accent5 8" xfId="266"/>
    <cellStyle name="60% - Accent5 9" xfId="267"/>
    <cellStyle name="60% - Accent6 10" xfId="268"/>
    <cellStyle name="60% - Accent6 11" xfId="269"/>
    <cellStyle name="60% - Accent6 12" xfId="270"/>
    <cellStyle name="60% - Accent6 13" xfId="271"/>
    <cellStyle name="60% - Accent6 14" xfId="272"/>
    <cellStyle name="60% - Accent6 15" xfId="273"/>
    <cellStyle name="60% - Accent6 16" xfId="274"/>
    <cellStyle name="60% - Accent6 2" xfId="275"/>
    <cellStyle name="60% - Accent6 3" xfId="276"/>
    <cellStyle name="60% - Accent6 4" xfId="277"/>
    <cellStyle name="60% - Accent6 5" xfId="278"/>
    <cellStyle name="60% - Accent6 6" xfId="279"/>
    <cellStyle name="60% - Accent6 7" xfId="280"/>
    <cellStyle name="60% - Accent6 8" xfId="281"/>
    <cellStyle name="60% - Accent6 9" xfId="282"/>
    <cellStyle name="Accent1 10" xfId="283"/>
    <cellStyle name="Accent1 11" xfId="284"/>
    <cellStyle name="Accent1 12" xfId="285"/>
    <cellStyle name="Accent1 13" xfId="286"/>
    <cellStyle name="Accent1 14" xfId="287"/>
    <cellStyle name="Accent1 15" xfId="288"/>
    <cellStyle name="Accent1 16" xfId="289"/>
    <cellStyle name="Accent1 2" xfId="290"/>
    <cellStyle name="Accent1 3" xfId="291"/>
    <cellStyle name="Accent1 4" xfId="292"/>
    <cellStyle name="Accent1 5" xfId="293"/>
    <cellStyle name="Accent1 6" xfId="294"/>
    <cellStyle name="Accent1 7" xfId="295"/>
    <cellStyle name="Accent1 8" xfId="296"/>
    <cellStyle name="Accent1 9" xfId="297"/>
    <cellStyle name="Accent2 10" xfId="298"/>
    <cellStyle name="Accent2 11" xfId="299"/>
    <cellStyle name="Accent2 12" xfId="300"/>
    <cellStyle name="Accent2 13" xfId="301"/>
    <cellStyle name="Accent2 14" xfId="302"/>
    <cellStyle name="Accent2 15" xfId="303"/>
    <cellStyle name="Accent2 16" xfId="304"/>
    <cellStyle name="Accent2 2" xfId="305"/>
    <cellStyle name="Accent2 3" xfId="306"/>
    <cellStyle name="Accent2 4" xfId="307"/>
    <cellStyle name="Accent2 5" xfId="308"/>
    <cellStyle name="Accent2 6" xfId="309"/>
    <cellStyle name="Accent2 7" xfId="310"/>
    <cellStyle name="Accent2 8" xfId="311"/>
    <cellStyle name="Accent2 9" xfId="312"/>
    <cellStyle name="Accent3 10" xfId="313"/>
    <cellStyle name="Accent3 11" xfId="314"/>
    <cellStyle name="Accent3 12" xfId="315"/>
    <cellStyle name="Accent3 13" xfId="316"/>
    <cellStyle name="Accent3 14" xfId="317"/>
    <cellStyle name="Accent3 15" xfId="318"/>
    <cellStyle name="Accent3 16" xfId="319"/>
    <cellStyle name="Accent3 2" xfId="320"/>
    <cellStyle name="Accent3 3" xfId="321"/>
    <cellStyle name="Accent3 4" xfId="322"/>
    <cellStyle name="Accent3 5" xfId="323"/>
    <cellStyle name="Accent3 6" xfId="324"/>
    <cellStyle name="Accent3 7" xfId="325"/>
    <cellStyle name="Accent3 8" xfId="326"/>
    <cellStyle name="Accent3 9" xfId="327"/>
    <cellStyle name="Accent4 10" xfId="328"/>
    <cellStyle name="Accent4 11" xfId="329"/>
    <cellStyle name="Accent4 12" xfId="330"/>
    <cellStyle name="Accent4 13" xfId="331"/>
    <cellStyle name="Accent4 14" xfId="332"/>
    <cellStyle name="Accent4 15" xfId="333"/>
    <cellStyle name="Accent4 16" xfId="334"/>
    <cellStyle name="Accent4 2" xfId="335"/>
    <cellStyle name="Accent4 3" xfId="336"/>
    <cellStyle name="Accent4 4" xfId="337"/>
    <cellStyle name="Accent4 5" xfId="338"/>
    <cellStyle name="Accent4 6" xfId="339"/>
    <cellStyle name="Accent4 7" xfId="340"/>
    <cellStyle name="Accent4 8" xfId="341"/>
    <cellStyle name="Accent4 9" xfId="342"/>
    <cellStyle name="Accent5 10" xfId="343"/>
    <cellStyle name="Accent5 11" xfId="344"/>
    <cellStyle name="Accent5 12" xfId="345"/>
    <cellStyle name="Accent5 13" xfId="346"/>
    <cellStyle name="Accent5 14" xfId="347"/>
    <cellStyle name="Accent5 15" xfId="348"/>
    <cellStyle name="Accent5 16" xfId="349"/>
    <cellStyle name="Accent5 2" xfId="350"/>
    <cellStyle name="Accent5 3" xfId="351"/>
    <cellStyle name="Accent5 4" xfId="352"/>
    <cellStyle name="Accent5 5" xfId="353"/>
    <cellStyle name="Accent5 6" xfId="354"/>
    <cellStyle name="Accent5 7" xfId="355"/>
    <cellStyle name="Accent5 8" xfId="356"/>
    <cellStyle name="Accent5 9" xfId="357"/>
    <cellStyle name="Accent6 10" xfId="358"/>
    <cellStyle name="Accent6 11" xfId="359"/>
    <cellStyle name="Accent6 12" xfId="360"/>
    <cellStyle name="Accent6 13" xfId="361"/>
    <cellStyle name="Accent6 14" xfId="362"/>
    <cellStyle name="Accent6 15" xfId="363"/>
    <cellStyle name="Accent6 16" xfId="364"/>
    <cellStyle name="Accent6 2" xfId="365"/>
    <cellStyle name="Accent6 3" xfId="366"/>
    <cellStyle name="Accent6 4" xfId="367"/>
    <cellStyle name="Accent6 5" xfId="368"/>
    <cellStyle name="Accent6 6" xfId="369"/>
    <cellStyle name="Accent6 7" xfId="370"/>
    <cellStyle name="Accent6 8" xfId="371"/>
    <cellStyle name="Accent6 9" xfId="372"/>
    <cellStyle name="Bad 10" xfId="373"/>
    <cellStyle name="Bad 11" xfId="374"/>
    <cellStyle name="Bad 12" xfId="375"/>
    <cellStyle name="Bad 13" xfId="376"/>
    <cellStyle name="Bad 14" xfId="377"/>
    <cellStyle name="Bad 15" xfId="378"/>
    <cellStyle name="Bad 16" xfId="379"/>
    <cellStyle name="Bad 2" xfId="380"/>
    <cellStyle name="Bad 3" xfId="381"/>
    <cellStyle name="Bad 4" xfId="382"/>
    <cellStyle name="Bad 5" xfId="383"/>
    <cellStyle name="Bad 6" xfId="384"/>
    <cellStyle name="Bad 7" xfId="385"/>
    <cellStyle name="Bad 8" xfId="386"/>
    <cellStyle name="Bad 9" xfId="387"/>
    <cellStyle name="Calculation 10" xfId="388"/>
    <cellStyle name="Calculation 11" xfId="389"/>
    <cellStyle name="Calculation 12" xfId="390"/>
    <cellStyle name="Calculation 13" xfId="391"/>
    <cellStyle name="Calculation 14" xfId="392"/>
    <cellStyle name="Calculation 15" xfId="393"/>
    <cellStyle name="Calculation 16" xfId="394"/>
    <cellStyle name="Calculation 2" xfId="395"/>
    <cellStyle name="Calculation 3" xfId="396"/>
    <cellStyle name="Calculation 4" xfId="397"/>
    <cellStyle name="Calculation 5" xfId="398"/>
    <cellStyle name="Calculation 6" xfId="399"/>
    <cellStyle name="Calculation 7" xfId="400"/>
    <cellStyle name="Calculation 8" xfId="401"/>
    <cellStyle name="Calculation 9" xfId="402"/>
    <cellStyle name="Check Cell 10" xfId="403"/>
    <cellStyle name="Check Cell 11" xfId="404"/>
    <cellStyle name="Check Cell 12" xfId="405"/>
    <cellStyle name="Check Cell 13" xfId="406"/>
    <cellStyle name="Check Cell 14" xfId="407"/>
    <cellStyle name="Check Cell 15" xfId="408"/>
    <cellStyle name="Check Cell 16" xfId="409"/>
    <cellStyle name="Check Cell 2" xfId="410"/>
    <cellStyle name="Check Cell 3" xfId="411"/>
    <cellStyle name="Check Cell 4" xfId="412"/>
    <cellStyle name="Check Cell 5" xfId="413"/>
    <cellStyle name="Check Cell 6" xfId="414"/>
    <cellStyle name="Check Cell 7" xfId="415"/>
    <cellStyle name="Check Cell 8" xfId="416"/>
    <cellStyle name="Check Cell 9" xfId="417"/>
    <cellStyle name="Comma" xfId="3" builtinId="3"/>
    <cellStyle name="Comma 2" xfId="1"/>
    <cellStyle name="Comma 2 10" xfId="418"/>
    <cellStyle name="Comma 2 11" xfId="419"/>
    <cellStyle name="Comma 2 12" xfId="420"/>
    <cellStyle name="Comma 2 13" xfId="421"/>
    <cellStyle name="Comma 2 14" xfId="422"/>
    <cellStyle name="Comma 2 2" xfId="423"/>
    <cellStyle name="Comma 2 3" xfId="424"/>
    <cellStyle name="Comma 2 4" xfId="425"/>
    <cellStyle name="Comma 2 5" xfId="426"/>
    <cellStyle name="Comma 2 6" xfId="427"/>
    <cellStyle name="Comma 2 7" xfId="428"/>
    <cellStyle name="Comma 2 8" xfId="429"/>
    <cellStyle name="Comma 2 9" xfId="430"/>
    <cellStyle name="Comma 3" xfId="431"/>
    <cellStyle name="Comma 4" xfId="432"/>
    <cellStyle name="Comma 5" xfId="433"/>
    <cellStyle name="Comma 6" xfId="9"/>
    <cellStyle name="Comma 7" xfId="843"/>
    <cellStyle name="Comma0" xfId="434"/>
    <cellStyle name="Currency" xfId="4" builtinId="4"/>
    <cellStyle name="Currency 2" xfId="6"/>
    <cellStyle name="Currency 3" xfId="435"/>
    <cellStyle name="Currency 4" xfId="436"/>
    <cellStyle name="Currency 5" xfId="846"/>
    <cellStyle name="Currency0" xfId="437"/>
    <cellStyle name="Date" xfId="438"/>
    <cellStyle name="Euro" xfId="439"/>
    <cellStyle name="Explanatory Text 10" xfId="440"/>
    <cellStyle name="Explanatory Text 11" xfId="441"/>
    <cellStyle name="Explanatory Text 12" xfId="442"/>
    <cellStyle name="Explanatory Text 13" xfId="443"/>
    <cellStyle name="Explanatory Text 14" xfId="444"/>
    <cellStyle name="Explanatory Text 15" xfId="445"/>
    <cellStyle name="Explanatory Text 16" xfId="446"/>
    <cellStyle name="Explanatory Text 2" xfId="447"/>
    <cellStyle name="Explanatory Text 3" xfId="448"/>
    <cellStyle name="Explanatory Text 4" xfId="449"/>
    <cellStyle name="Explanatory Text 5" xfId="450"/>
    <cellStyle name="Explanatory Text 6" xfId="451"/>
    <cellStyle name="Explanatory Text 7" xfId="452"/>
    <cellStyle name="Explanatory Text 8" xfId="453"/>
    <cellStyle name="Explanatory Text 9" xfId="454"/>
    <cellStyle name="F2" xfId="455"/>
    <cellStyle name="F2 2" xfId="456"/>
    <cellStyle name="F2 3" xfId="457"/>
    <cellStyle name="F2 4" xfId="458"/>
    <cellStyle name="F2 5" xfId="459"/>
    <cellStyle name="F2 6" xfId="460"/>
    <cellStyle name="F2 7" xfId="461"/>
    <cellStyle name="F2 8" xfId="462"/>
    <cellStyle name="F2 9" xfId="463"/>
    <cellStyle name="F2_Regenerated Revenues LGE Gas 2008-04 with Elec Gen-Seelye final version " xfId="464"/>
    <cellStyle name="F3" xfId="465"/>
    <cellStyle name="F3 2" xfId="466"/>
    <cellStyle name="F3 3" xfId="467"/>
    <cellStyle name="F3 4" xfId="468"/>
    <cellStyle name="F3 5" xfId="469"/>
    <cellStyle name="F3 6" xfId="470"/>
    <cellStyle name="F3 7" xfId="471"/>
    <cellStyle name="F3 8" xfId="472"/>
    <cellStyle name="F3 9" xfId="473"/>
    <cellStyle name="F3_Regenerated Revenues LGE Gas 2008-04 with Elec Gen-Seelye final version " xfId="474"/>
    <cellStyle name="F4" xfId="475"/>
    <cellStyle name="F4 2" xfId="476"/>
    <cellStyle name="F4 3" xfId="477"/>
    <cellStyle name="F4 4" xfId="478"/>
    <cellStyle name="F4 5" xfId="479"/>
    <cellStyle name="F4 6" xfId="480"/>
    <cellStyle name="F4 7" xfId="481"/>
    <cellStyle name="F4 8" xfId="482"/>
    <cellStyle name="F4 9" xfId="483"/>
    <cellStyle name="F4_Regenerated Revenues LGE Gas 2008-04 with Elec Gen-Seelye final version " xfId="484"/>
    <cellStyle name="F5" xfId="485"/>
    <cellStyle name="F5 2" xfId="486"/>
    <cellStyle name="F5 3" xfId="487"/>
    <cellStyle name="F5 4" xfId="488"/>
    <cellStyle name="F5 5" xfId="489"/>
    <cellStyle name="F5 6" xfId="490"/>
    <cellStyle name="F5 7" xfId="491"/>
    <cellStyle name="F5 8" xfId="492"/>
    <cellStyle name="F5 9" xfId="493"/>
    <cellStyle name="F5_Regenerated Revenues LGE Gas 2008-04 with Elec Gen-Seelye final version " xfId="494"/>
    <cellStyle name="F6" xfId="495"/>
    <cellStyle name="F6 2" xfId="496"/>
    <cellStyle name="F6 3" xfId="497"/>
    <cellStyle name="F6 4" xfId="498"/>
    <cellStyle name="F6 5" xfId="499"/>
    <cellStyle name="F6 6" xfId="500"/>
    <cellStyle name="F6 7" xfId="501"/>
    <cellStyle name="F6 8" xfId="502"/>
    <cellStyle name="F6 9" xfId="503"/>
    <cellStyle name="F6_Regenerated Revenues LGE Gas 2008-04 with Elec Gen-Seelye final version " xfId="504"/>
    <cellStyle name="F7" xfId="505"/>
    <cellStyle name="F7 2" xfId="506"/>
    <cellStyle name="F7 3" xfId="507"/>
    <cellStyle name="F7 4" xfId="508"/>
    <cellStyle name="F7 5" xfId="509"/>
    <cellStyle name="F7 6" xfId="510"/>
    <cellStyle name="F7 7" xfId="511"/>
    <cellStyle name="F7 8" xfId="512"/>
    <cellStyle name="F7 9" xfId="513"/>
    <cellStyle name="F7_Regenerated Revenues LGE Gas 2008-04 with Elec Gen-Seelye final version " xfId="514"/>
    <cellStyle name="F8" xfId="515"/>
    <cellStyle name="F8 2" xfId="516"/>
    <cellStyle name="F8 3" xfId="517"/>
    <cellStyle name="F8 4" xfId="518"/>
    <cellStyle name="F8 5" xfId="519"/>
    <cellStyle name="F8 6" xfId="520"/>
    <cellStyle name="F8 7" xfId="521"/>
    <cellStyle name="F8 8" xfId="522"/>
    <cellStyle name="F8 9" xfId="523"/>
    <cellStyle name="F8_Regenerated Revenues LGE Gas 2008-04 with Elec Gen-Seelye final version " xfId="524"/>
    <cellStyle name="Fixed" xfId="525"/>
    <cellStyle name="Good 10" xfId="526"/>
    <cellStyle name="Good 11" xfId="527"/>
    <cellStyle name="Good 12" xfId="528"/>
    <cellStyle name="Good 13" xfId="529"/>
    <cellStyle name="Good 14" xfId="530"/>
    <cellStyle name="Good 15" xfId="531"/>
    <cellStyle name="Good 16" xfId="532"/>
    <cellStyle name="Good 2" xfId="533"/>
    <cellStyle name="Good 3" xfId="534"/>
    <cellStyle name="Good 4" xfId="535"/>
    <cellStyle name="Good 5" xfId="536"/>
    <cellStyle name="Good 6" xfId="537"/>
    <cellStyle name="Good 7" xfId="538"/>
    <cellStyle name="Good 8" xfId="539"/>
    <cellStyle name="Good 9" xfId="540"/>
    <cellStyle name="Heading 1 10" xfId="541"/>
    <cellStyle name="Heading 1 11" xfId="542"/>
    <cellStyle name="Heading 1 12" xfId="543"/>
    <cellStyle name="Heading 1 13" xfId="544"/>
    <cellStyle name="Heading 1 14" xfId="545"/>
    <cellStyle name="Heading 1 15" xfId="546"/>
    <cellStyle name="Heading 1 16" xfId="547"/>
    <cellStyle name="Heading 1 2" xfId="548"/>
    <cellStyle name="Heading 1 3" xfId="549"/>
    <cellStyle name="Heading 1 4" xfId="550"/>
    <cellStyle name="Heading 1 5" xfId="551"/>
    <cellStyle name="Heading 1 6" xfId="552"/>
    <cellStyle name="Heading 1 7" xfId="553"/>
    <cellStyle name="Heading 1 8" xfId="554"/>
    <cellStyle name="Heading 1 9" xfId="555"/>
    <cellStyle name="Heading 2 10" xfId="556"/>
    <cellStyle name="Heading 2 11" xfId="557"/>
    <cellStyle name="Heading 2 12" xfId="558"/>
    <cellStyle name="Heading 2 13" xfId="559"/>
    <cellStyle name="Heading 2 14" xfId="560"/>
    <cellStyle name="Heading 2 15" xfId="561"/>
    <cellStyle name="Heading 2 16" xfId="562"/>
    <cellStyle name="Heading 2 2" xfId="563"/>
    <cellStyle name="Heading 2 3" xfId="564"/>
    <cellStyle name="Heading 2 4" xfId="565"/>
    <cellStyle name="Heading 2 5" xfId="566"/>
    <cellStyle name="Heading 2 6" xfId="567"/>
    <cellStyle name="Heading 2 7" xfId="568"/>
    <cellStyle name="Heading 2 8" xfId="569"/>
    <cellStyle name="Heading 2 9" xfId="570"/>
    <cellStyle name="Heading 3 10" xfId="571"/>
    <cellStyle name="Heading 3 11" xfId="572"/>
    <cellStyle name="Heading 3 12" xfId="573"/>
    <cellStyle name="Heading 3 13" xfId="574"/>
    <cellStyle name="Heading 3 14" xfId="575"/>
    <cellStyle name="Heading 3 15" xfId="576"/>
    <cellStyle name="Heading 3 16" xfId="577"/>
    <cellStyle name="Heading 3 2" xfId="578"/>
    <cellStyle name="Heading 3 3" xfId="579"/>
    <cellStyle name="Heading 3 4" xfId="580"/>
    <cellStyle name="Heading 3 5" xfId="581"/>
    <cellStyle name="Heading 3 6" xfId="582"/>
    <cellStyle name="Heading 3 7" xfId="583"/>
    <cellStyle name="Heading 3 8" xfId="584"/>
    <cellStyle name="Heading 3 9" xfId="585"/>
    <cellStyle name="Heading 4 10" xfId="586"/>
    <cellStyle name="Heading 4 11" xfId="587"/>
    <cellStyle name="Heading 4 12" xfId="588"/>
    <cellStyle name="Heading 4 13" xfId="589"/>
    <cellStyle name="Heading 4 14" xfId="590"/>
    <cellStyle name="Heading 4 15" xfId="591"/>
    <cellStyle name="Heading 4 16" xfId="592"/>
    <cellStyle name="Heading 4 2" xfId="593"/>
    <cellStyle name="Heading 4 3" xfId="594"/>
    <cellStyle name="Heading 4 4" xfId="595"/>
    <cellStyle name="Heading 4 5" xfId="596"/>
    <cellStyle name="Heading 4 6" xfId="597"/>
    <cellStyle name="Heading 4 7" xfId="598"/>
    <cellStyle name="Heading 4 8" xfId="599"/>
    <cellStyle name="Heading 4 9" xfId="600"/>
    <cellStyle name="Input 10" xfId="601"/>
    <cellStyle name="Input 11" xfId="602"/>
    <cellStyle name="Input 12" xfId="603"/>
    <cellStyle name="Input 13" xfId="604"/>
    <cellStyle name="Input 14" xfId="605"/>
    <cellStyle name="Input 15" xfId="606"/>
    <cellStyle name="Input 16" xfId="607"/>
    <cellStyle name="Input 2" xfId="608"/>
    <cellStyle name="Input 3" xfId="609"/>
    <cellStyle name="Input 4" xfId="610"/>
    <cellStyle name="Input 5" xfId="611"/>
    <cellStyle name="Input 6" xfId="612"/>
    <cellStyle name="Input 7" xfId="613"/>
    <cellStyle name="Input 8" xfId="614"/>
    <cellStyle name="Input 9" xfId="615"/>
    <cellStyle name="Linked Cell 10" xfId="616"/>
    <cellStyle name="Linked Cell 11" xfId="617"/>
    <cellStyle name="Linked Cell 12" xfId="618"/>
    <cellStyle name="Linked Cell 13" xfId="619"/>
    <cellStyle name="Linked Cell 14" xfId="620"/>
    <cellStyle name="Linked Cell 15" xfId="621"/>
    <cellStyle name="Linked Cell 16" xfId="622"/>
    <cellStyle name="Linked Cell 2" xfId="623"/>
    <cellStyle name="Linked Cell 3" xfId="624"/>
    <cellStyle name="Linked Cell 4" xfId="625"/>
    <cellStyle name="Linked Cell 5" xfId="626"/>
    <cellStyle name="Linked Cell 6" xfId="627"/>
    <cellStyle name="Linked Cell 7" xfId="628"/>
    <cellStyle name="Linked Cell 8" xfId="629"/>
    <cellStyle name="Linked Cell 9" xfId="630"/>
    <cellStyle name="Neutral 10" xfId="631"/>
    <cellStyle name="Neutral 11" xfId="632"/>
    <cellStyle name="Neutral 12" xfId="633"/>
    <cellStyle name="Neutral 13" xfId="634"/>
    <cellStyle name="Neutral 14" xfId="635"/>
    <cellStyle name="Neutral 15" xfId="636"/>
    <cellStyle name="Neutral 16" xfId="637"/>
    <cellStyle name="Neutral 2" xfId="638"/>
    <cellStyle name="Neutral 3" xfId="639"/>
    <cellStyle name="Neutral 4" xfId="640"/>
    <cellStyle name="Neutral 5" xfId="641"/>
    <cellStyle name="Neutral 6" xfId="642"/>
    <cellStyle name="Neutral 7" xfId="643"/>
    <cellStyle name="Neutral 8" xfId="644"/>
    <cellStyle name="Neutral 9" xfId="645"/>
    <cellStyle name="Normal" xfId="0" builtinId="0"/>
    <cellStyle name="Normal 10" xfId="646"/>
    <cellStyle name="Normal 11" xfId="647"/>
    <cellStyle name="Normal 12" xfId="648"/>
    <cellStyle name="Normal 13" xfId="649"/>
    <cellStyle name="Normal 14" xfId="12"/>
    <cellStyle name="Normal 15" xfId="650"/>
    <cellStyle name="Normal 16" xfId="651"/>
    <cellStyle name="Normal 17" xfId="652"/>
    <cellStyle name="Normal 18" xfId="653"/>
    <cellStyle name="Normal 19" xfId="654"/>
    <cellStyle name="Normal 2" xfId="5"/>
    <cellStyle name="Normal 2 10" xfId="655"/>
    <cellStyle name="Normal 2 11" xfId="656"/>
    <cellStyle name="Normal 2 12" xfId="657"/>
    <cellStyle name="Normal 2 13" xfId="658"/>
    <cellStyle name="Normal 2 14" xfId="659"/>
    <cellStyle name="Normal 2 15" xfId="660"/>
    <cellStyle name="Normal 2 16" xfId="661"/>
    <cellStyle name="Normal 2 19" xfId="848"/>
    <cellStyle name="Normal 2 2" xfId="662"/>
    <cellStyle name="Normal 2 3" xfId="663"/>
    <cellStyle name="Normal 2 4" xfId="664"/>
    <cellStyle name="Normal 2 5" xfId="665"/>
    <cellStyle name="Normal 2 6" xfId="666"/>
    <cellStyle name="Normal 2 7" xfId="667"/>
    <cellStyle name="Normal 2 8" xfId="668"/>
    <cellStyle name="Normal 2 9" xfId="669"/>
    <cellStyle name="Normal 2_LGEElecBillingDeterminants2009-10" xfId="670"/>
    <cellStyle name="Normal 20" xfId="671"/>
    <cellStyle name="Normal 21" xfId="672"/>
    <cellStyle name="Normal 22" xfId="673"/>
    <cellStyle name="Normal 23" xfId="674"/>
    <cellStyle name="Normal 3" xfId="2"/>
    <cellStyle name="Normal 3 10" xfId="675"/>
    <cellStyle name="Normal 3 11" xfId="676"/>
    <cellStyle name="Normal 3 12" xfId="677"/>
    <cellStyle name="Normal 3 13" xfId="678"/>
    <cellStyle name="Normal 3 14" xfId="679"/>
    <cellStyle name="Normal 3 15" xfId="680"/>
    <cellStyle name="Normal 3 16" xfId="681"/>
    <cellStyle name="Normal 3 17" xfId="845"/>
    <cellStyle name="Normal 3 2" xfId="682"/>
    <cellStyle name="Normal 3 3" xfId="683"/>
    <cellStyle name="Normal 3 4" xfId="684"/>
    <cellStyle name="Normal 3 5" xfId="685"/>
    <cellStyle name="Normal 3 6" xfId="686"/>
    <cellStyle name="Normal 3 7" xfId="687"/>
    <cellStyle name="Normal 3 8" xfId="688"/>
    <cellStyle name="Normal 3 9" xfId="689"/>
    <cellStyle name="Normal 3_LGEElecBillingDeterminants2009-10" xfId="690"/>
    <cellStyle name="Normal 4" xfId="7"/>
    <cellStyle name="Normal 4 2" xfId="691"/>
    <cellStyle name="Normal 4 3" xfId="692"/>
    <cellStyle name="Normal 4_Regenerated Revenues LGE Gas 10312009" xfId="693"/>
    <cellStyle name="Normal 5" xfId="11"/>
    <cellStyle name="Normal 5 2" xfId="694"/>
    <cellStyle name="Normal 5 3" xfId="695"/>
    <cellStyle name="Normal 6" xfId="696"/>
    <cellStyle name="Normal 6 2" xfId="697"/>
    <cellStyle name="Normal 6 3" xfId="698"/>
    <cellStyle name="Normal 7" xfId="699"/>
    <cellStyle name="Normal 7 2" xfId="700"/>
    <cellStyle name="Normal 7 3" xfId="701"/>
    <cellStyle name="Normal 8" xfId="702"/>
    <cellStyle name="Normal 8 2" xfId="703"/>
    <cellStyle name="Normal 8 3" xfId="704"/>
    <cellStyle name="Normal 9" xfId="705"/>
    <cellStyle name="Normal 9 2" xfId="706"/>
    <cellStyle name="Normal 9 3" xfId="707"/>
    <cellStyle name="Normal_LGE Filed Test Period Billing Exhibits - SBR Summary" xfId="847"/>
    <cellStyle name="Normal_Regenerated Revenues LGE Gas 2008-04 with Elec Gen-Seelye final version " xfId="844"/>
    <cellStyle name="Note 10" xfId="708"/>
    <cellStyle name="Note 11" xfId="709"/>
    <cellStyle name="Note 12" xfId="710"/>
    <cellStyle name="Note 13" xfId="711"/>
    <cellStyle name="Note 14" xfId="712"/>
    <cellStyle name="Note 2" xfId="713"/>
    <cellStyle name="Note 2 2" xfId="714"/>
    <cellStyle name="Note 2 3" xfId="715"/>
    <cellStyle name="Note 3" xfId="716"/>
    <cellStyle name="Note 3 2" xfId="717"/>
    <cellStyle name="Note 3 3" xfId="718"/>
    <cellStyle name="Note 4" xfId="719"/>
    <cellStyle name="Note 4 2" xfId="720"/>
    <cellStyle name="Note 4 3" xfId="721"/>
    <cellStyle name="Note 5" xfId="722"/>
    <cellStyle name="Note 5 2" xfId="723"/>
    <cellStyle name="Note 5 3" xfId="724"/>
    <cellStyle name="Note 6" xfId="725"/>
    <cellStyle name="Note 6 2" xfId="726"/>
    <cellStyle name="Note 6 3" xfId="727"/>
    <cellStyle name="Note 7" xfId="728"/>
    <cellStyle name="Note 7 2" xfId="729"/>
    <cellStyle name="Note 7 3" xfId="730"/>
    <cellStyle name="Note 8" xfId="731"/>
    <cellStyle name="Note 8 2" xfId="732"/>
    <cellStyle name="Note 8 3" xfId="733"/>
    <cellStyle name="Note 9" xfId="734"/>
    <cellStyle name="Output 10" xfId="735"/>
    <cellStyle name="Output 11" xfId="736"/>
    <cellStyle name="Output 12" xfId="737"/>
    <cellStyle name="Output 13" xfId="738"/>
    <cellStyle name="Output 14" xfId="739"/>
    <cellStyle name="Output 15" xfId="740"/>
    <cellStyle name="Output 16" xfId="741"/>
    <cellStyle name="Output 2" xfId="742"/>
    <cellStyle name="Output 3" xfId="743"/>
    <cellStyle name="Output 4" xfId="744"/>
    <cellStyle name="Output 5" xfId="745"/>
    <cellStyle name="Output 6" xfId="746"/>
    <cellStyle name="Output 7" xfId="747"/>
    <cellStyle name="Output 8" xfId="748"/>
    <cellStyle name="Output 9" xfId="749"/>
    <cellStyle name="Output Amounts" xfId="750"/>
    <cellStyle name="Output Column Headings" xfId="751"/>
    <cellStyle name="Output Column Headings 2" xfId="752"/>
    <cellStyle name="Output Column Headings 3" xfId="753"/>
    <cellStyle name="Output Column Headings 4" xfId="754"/>
    <cellStyle name="Output Column Headings 5" xfId="755"/>
    <cellStyle name="Output Column Headings 6" xfId="756"/>
    <cellStyle name="Output Column Headings 7" xfId="757"/>
    <cellStyle name="Output Column Headings 8" xfId="758"/>
    <cellStyle name="Output Column Headings 9" xfId="759"/>
    <cellStyle name="Output Column Headings_Regenerated Revenues LGE Gas 2008-04 with Elec Gen-Seelye final version " xfId="760"/>
    <cellStyle name="Output Line Items" xfId="761"/>
    <cellStyle name="Output Line Items 2" xfId="762"/>
    <cellStyle name="Output Line Items 3" xfId="763"/>
    <cellStyle name="Output Line Items 4" xfId="764"/>
    <cellStyle name="Output Line Items 5" xfId="765"/>
    <cellStyle name="Output Line Items 6" xfId="766"/>
    <cellStyle name="Output Line Items 7" xfId="767"/>
    <cellStyle name="Output Line Items 8" xfId="768"/>
    <cellStyle name="Output Line Items 9" xfId="769"/>
    <cellStyle name="Output Line Items_Regenerated Revenues LGE Gas 2008-04 with Elec Gen-Seelye final version " xfId="770"/>
    <cellStyle name="Output Report Heading" xfId="771"/>
    <cellStyle name="Output Report Heading 2" xfId="772"/>
    <cellStyle name="Output Report Heading 3" xfId="773"/>
    <cellStyle name="Output Report Heading 4" xfId="774"/>
    <cellStyle name="Output Report Heading 5" xfId="775"/>
    <cellStyle name="Output Report Heading 6" xfId="776"/>
    <cellStyle name="Output Report Heading 7" xfId="777"/>
    <cellStyle name="Output Report Heading 8" xfId="778"/>
    <cellStyle name="Output Report Heading 9" xfId="779"/>
    <cellStyle name="Output Report Heading_Regenerated Revenues LGE Gas 2008-04 with Elec Gen-Seelye final version " xfId="780"/>
    <cellStyle name="Output Report Title" xfId="781"/>
    <cellStyle name="Output Report Title 2" xfId="782"/>
    <cellStyle name="Output Report Title 3" xfId="783"/>
    <cellStyle name="Output Report Title 4" xfId="784"/>
    <cellStyle name="Output Report Title 5" xfId="785"/>
    <cellStyle name="Output Report Title 6" xfId="786"/>
    <cellStyle name="Output Report Title 7" xfId="787"/>
    <cellStyle name="Output Report Title 8" xfId="788"/>
    <cellStyle name="Output Report Title 9" xfId="789"/>
    <cellStyle name="Output Report Title_Regenerated Revenues LGE Gas 2008-04 with Elec Gen-Seelye final version " xfId="790"/>
    <cellStyle name="Percent" xfId="10" builtinId="5"/>
    <cellStyle name="Percent 2" xfId="8"/>
    <cellStyle name="Percent 3" xfId="791"/>
    <cellStyle name="STYL5 - Style5" xfId="792"/>
    <cellStyle name="STYL6 - Style6" xfId="793"/>
    <cellStyle name="STYLE1 - Style1" xfId="794"/>
    <cellStyle name="STYLE2 - Style2" xfId="795"/>
    <cellStyle name="STYLE3 - Style3" xfId="796"/>
    <cellStyle name="STYLE4 - Style4" xfId="797"/>
    <cellStyle name="Title 10" xfId="798"/>
    <cellStyle name="Title 11" xfId="799"/>
    <cellStyle name="Title 12" xfId="800"/>
    <cellStyle name="Title 13" xfId="801"/>
    <cellStyle name="Title 14" xfId="802"/>
    <cellStyle name="Title 15" xfId="803"/>
    <cellStyle name="Title 16" xfId="804"/>
    <cellStyle name="Title 2" xfId="805"/>
    <cellStyle name="Title 3" xfId="806"/>
    <cellStyle name="Title 4" xfId="807"/>
    <cellStyle name="Title 5" xfId="808"/>
    <cellStyle name="Title 6" xfId="809"/>
    <cellStyle name="Title 7" xfId="810"/>
    <cellStyle name="Title 8" xfId="811"/>
    <cellStyle name="Title 9" xfId="812"/>
    <cellStyle name="Total 10" xfId="813"/>
    <cellStyle name="Total 11" xfId="814"/>
    <cellStyle name="Total 12" xfId="815"/>
    <cellStyle name="Total 13" xfId="816"/>
    <cellStyle name="Total 14" xfId="817"/>
    <cellStyle name="Total 15" xfId="818"/>
    <cellStyle name="Total 16" xfId="819"/>
    <cellStyle name="Total 2" xfId="820"/>
    <cellStyle name="Total 3" xfId="821"/>
    <cellStyle name="Total 4" xfId="822"/>
    <cellStyle name="Total 5" xfId="823"/>
    <cellStyle name="Total 6" xfId="824"/>
    <cellStyle name="Total 7" xfId="825"/>
    <cellStyle name="Total 8" xfId="826"/>
    <cellStyle name="Total 9" xfId="827"/>
    <cellStyle name="Warning Text 10" xfId="828"/>
    <cellStyle name="Warning Text 11" xfId="829"/>
    <cellStyle name="Warning Text 12" xfId="830"/>
    <cellStyle name="Warning Text 13" xfId="831"/>
    <cellStyle name="Warning Text 14" xfId="832"/>
    <cellStyle name="Warning Text 15" xfId="833"/>
    <cellStyle name="Warning Text 16" xfId="834"/>
    <cellStyle name="Warning Text 2" xfId="835"/>
    <cellStyle name="Warning Text 3" xfId="836"/>
    <cellStyle name="Warning Text 4" xfId="837"/>
    <cellStyle name="Warning Text 5" xfId="838"/>
    <cellStyle name="Warning Text 6" xfId="839"/>
    <cellStyle name="Warning Text 7" xfId="840"/>
    <cellStyle name="Warning Text 8" xfId="841"/>
    <cellStyle name="Warning Text 9" xfId="842"/>
  </cellStyles>
  <dxfs count="0"/>
  <tableStyles count="0" defaultTableStyle="TableStyleMedium9" defaultPivotStyle="PivotStyleLight16"/>
  <colors>
    <mruColors>
      <color rgb="FFFFFF99"/>
      <color rgb="FFFFFF00"/>
      <color rgb="FFFFFFCC"/>
      <color rgb="FFCCFFCC"/>
      <color rgb="FFFFCCF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ojects.sp.lgeenergy.int/Revenue%20Volume%20Analysis%20Reports/2016/Revenue%20Volume%20Analysis%202016-06.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Home"/>
      <sheetName val="PVA"/>
      <sheetName val="RBC Summary"/>
      <sheetName val="RBC Detail"/>
      <sheetName val="Information for SEC Table"/>
      <sheetName val="A216810396964DCDB399904ED81BA8E"/>
      <sheetName val="Curr Mo. Error Checks"/>
      <sheetName val="Qtd Error Checks"/>
      <sheetName val="Ytd Error Checks"/>
      <sheetName val="12 Mo. Ending error checks"/>
      <sheetName val="Weather Check"/>
      <sheetName val="DataChecks"/>
      <sheetName val="PVA - Variance Checks"/>
      <sheetName val="Data"/>
      <sheetName val="ListsValues"/>
      <sheetName val="Weather Summary"/>
      <sheetName val="Electronic Evidence"/>
      <sheetName val="VersionH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9">
          <cell r="M29">
            <v>1</v>
          </cell>
        </row>
      </sheetData>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25"/>
  <sheetViews>
    <sheetView tabSelected="1" view="pageBreakPreview" zoomScale="60" zoomScaleNormal="100" workbookViewId="0">
      <selection sqref="A1:L1"/>
    </sheetView>
  </sheetViews>
  <sheetFormatPr defaultColWidth="9.140625" defaultRowHeight="15" x14ac:dyDescent="0.25"/>
  <cols>
    <col min="1" max="1" width="11" style="1" customWidth="1"/>
    <col min="2" max="2" width="11.140625" style="1" customWidth="1"/>
    <col min="3" max="7" width="9.140625" style="1"/>
    <col min="8" max="8" width="15.140625" style="1" customWidth="1"/>
    <col min="9" max="16384" width="9.140625" style="1"/>
  </cols>
  <sheetData>
    <row r="1" spans="1:12" x14ac:dyDescent="0.25">
      <c r="A1" s="233" t="s">
        <v>43</v>
      </c>
      <c r="B1" s="233"/>
      <c r="C1" s="233"/>
      <c r="D1" s="233"/>
      <c r="E1" s="233"/>
      <c r="F1" s="233"/>
      <c r="G1" s="233"/>
      <c r="H1" s="233"/>
      <c r="I1" s="233"/>
      <c r="J1" s="233"/>
      <c r="K1" s="233"/>
      <c r="L1" s="233"/>
    </row>
    <row r="3" spans="1:12" x14ac:dyDescent="0.25">
      <c r="A3" s="233" t="s">
        <v>61</v>
      </c>
      <c r="B3" s="233"/>
      <c r="C3" s="233"/>
      <c r="D3" s="233"/>
      <c r="E3" s="233"/>
      <c r="F3" s="233"/>
      <c r="G3" s="233"/>
      <c r="H3" s="233"/>
      <c r="I3" s="233"/>
      <c r="J3" s="233"/>
      <c r="K3" s="233"/>
      <c r="L3" s="233"/>
    </row>
    <row r="5" spans="1:12" x14ac:dyDescent="0.25">
      <c r="A5" s="233" t="s">
        <v>11</v>
      </c>
      <c r="B5" s="233"/>
      <c r="C5" s="233"/>
      <c r="D5" s="233"/>
      <c r="E5" s="233"/>
      <c r="F5" s="233"/>
      <c r="G5" s="233"/>
      <c r="H5" s="233"/>
      <c r="I5" s="233"/>
      <c r="J5" s="233"/>
      <c r="K5" s="233"/>
      <c r="L5" s="233"/>
    </row>
    <row r="7" spans="1:12" x14ac:dyDescent="0.25">
      <c r="A7" s="233" t="s">
        <v>141</v>
      </c>
      <c r="B7" s="233"/>
      <c r="C7" s="233"/>
      <c r="D7" s="233"/>
      <c r="E7" s="233"/>
      <c r="F7" s="233"/>
      <c r="G7" s="233"/>
      <c r="H7" s="233"/>
      <c r="I7" s="233"/>
      <c r="J7" s="233"/>
      <c r="K7" s="233"/>
      <c r="L7" s="233"/>
    </row>
    <row r="8" spans="1:12" x14ac:dyDescent="0.25">
      <c r="A8" s="2"/>
      <c r="B8" s="2"/>
      <c r="C8" s="2"/>
      <c r="D8" s="2"/>
      <c r="E8" s="2"/>
      <c r="F8" s="2"/>
      <c r="G8" s="2"/>
      <c r="H8" s="2"/>
    </row>
    <row r="9" spans="1:12" x14ac:dyDescent="0.25">
      <c r="A9" s="2"/>
      <c r="B9" s="2"/>
      <c r="C9" s="2"/>
      <c r="D9" s="2"/>
      <c r="E9" s="2"/>
      <c r="F9" s="2"/>
      <c r="G9" s="2"/>
      <c r="H9" s="2"/>
    </row>
    <row r="10" spans="1:12" x14ac:dyDescent="0.25">
      <c r="A10" s="2"/>
      <c r="B10" s="2"/>
      <c r="C10" s="2"/>
      <c r="D10" s="2"/>
      <c r="E10" s="2"/>
      <c r="F10" s="2"/>
      <c r="G10" s="2"/>
      <c r="H10" s="2"/>
    </row>
    <row r="11" spans="1:12" x14ac:dyDescent="0.25">
      <c r="A11" s="10" t="s">
        <v>44</v>
      </c>
      <c r="B11" s="2"/>
      <c r="C11" s="2"/>
      <c r="D11" s="10" t="s">
        <v>114</v>
      </c>
      <c r="E11" s="2"/>
      <c r="F11" s="2"/>
      <c r="G11" s="2"/>
      <c r="H11" s="2"/>
    </row>
    <row r="13" spans="1:12" x14ac:dyDescent="0.25">
      <c r="A13" s="11" t="s">
        <v>45</v>
      </c>
      <c r="D13" s="11" t="s">
        <v>116</v>
      </c>
    </row>
    <row r="16" spans="1:12" x14ac:dyDescent="0.25">
      <c r="A16" s="12" t="s">
        <v>46</v>
      </c>
      <c r="C16" s="238" t="s">
        <v>47</v>
      </c>
      <c r="D16" s="238"/>
      <c r="E16" s="238"/>
      <c r="F16" s="238"/>
      <c r="G16" s="238"/>
      <c r="H16" s="238"/>
      <c r="I16" s="238"/>
      <c r="J16" s="238"/>
    </row>
    <row r="18" spans="1:3" x14ac:dyDescent="0.25">
      <c r="C18" s="11"/>
    </row>
    <row r="19" spans="1:3" x14ac:dyDescent="0.25">
      <c r="A19" s="11" t="s">
        <v>62</v>
      </c>
      <c r="C19" s="11" t="s">
        <v>91</v>
      </c>
    </row>
    <row r="20" spans="1:3" x14ac:dyDescent="0.25">
      <c r="A20" s="11" t="s">
        <v>63</v>
      </c>
      <c r="C20" s="11" t="s">
        <v>92</v>
      </c>
    </row>
    <row r="21" spans="1:3" x14ac:dyDescent="0.25">
      <c r="A21" s="11" t="s">
        <v>64</v>
      </c>
      <c r="B21" s="11" t="s">
        <v>48</v>
      </c>
      <c r="C21" s="11" t="s">
        <v>93</v>
      </c>
    </row>
    <row r="22" spans="1:3" x14ac:dyDescent="0.25">
      <c r="A22" s="11" t="s">
        <v>64</v>
      </c>
      <c r="B22" s="11" t="s">
        <v>172</v>
      </c>
      <c r="C22" s="11" t="s">
        <v>94</v>
      </c>
    </row>
    <row r="24" spans="1:3" x14ac:dyDescent="0.25">
      <c r="C24" s="13"/>
    </row>
    <row r="25" spans="1:3" x14ac:dyDescent="0.25">
      <c r="C25" s="13"/>
    </row>
  </sheetData>
  <mergeCells count="5">
    <mergeCell ref="C16:J16"/>
    <mergeCell ref="A1:L1"/>
    <mergeCell ref="A3:L3"/>
    <mergeCell ref="A5:L5"/>
    <mergeCell ref="A7:L7"/>
  </mergeCells>
  <printOptions horizontalCentered="1"/>
  <pageMargins left="0.75" right="0.75" top="0.75" bottom="0.5" header="0.25" footer="0.25"/>
  <pageSetup scale="7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I61"/>
  <sheetViews>
    <sheetView view="pageBreakPreview" zoomScale="70" zoomScaleNormal="100" zoomScaleSheetLayoutView="70" workbookViewId="0">
      <selection sqref="A1:F1"/>
    </sheetView>
  </sheetViews>
  <sheetFormatPr defaultColWidth="9.140625" defaultRowHeight="15.75" x14ac:dyDescent="0.25"/>
  <cols>
    <col min="1" max="1" width="65.140625" style="5" customWidth="1"/>
    <col min="2" max="2" width="20.7109375" style="5" customWidth="1"/>
    <col min="3" max="3" width="22.7109375" style="5" customWidth="1"/>
    <col min="4" max="4" width="19.140625" style="5" customWidth="1"/>
    <col min="5" max="5" width="3.85546875" style="5" customWidth="1"/>
    <col min="6" max="6" width="15" style="5" bestFit="1" customWidth="1"/>
    <col min="7" max="7" width="9.140625" style="5"/>
    <col min="8" max="8" width="16.28515625" style="5" bestFit="1" customWidth="1"/>
    <col min="9" max="16384" width="9.140625" style="5"/>
  </cols>
  <sheetData>
    <row r="1" spans="1:7" x14ac:dyDescent="0.25">
      <c r="A1" s="233" t="str">
        <f>Index!A5</f>
        <v>LOUISVILLE GAS AND ELECTRIC COMPANY</v>
      </c>
      <c r="B1" s="234"/>
      <c r="C1" s="234"/>
      <c r="D1" s="234"/>
      <c r="E1" s="234"/>
      <c r="F1" s="234"/>
    </row>
    <row r="2" spans="1:7" x14ac:dyDescent="0.25">
      <c r="A2" s="234" t="str">
        <f>Index!A7</f>
        <v>CASE NO. 2018-00295</v>
      </c>
      <c r="B2" s="234"/>
      <c r="C2" s="234"/>
      <c r="D2" s="234"/>
      <c r="E2" s="234"/>
      <c r="F2" s="234"/>
    </row>
    <row r="3" spans="1:7" x14ac:dyDescent="0.25">
      <c r="A3" s="234" t="str">
        <f>Index!C19</f>
        <v>Forecast Period Revenues at Current and Proposed Gas Rates</v>
      </c>
      <c r="B3" s="234"/>
      <c r="C3" s="234"/>
      <c r="D3" s="234"/>
      <c r="E3" s="234"/>
      <c r="F3" s="234"/>
    </row>
    <row r="4" spans="1:7" x14ac:dyDescent="0.25">
      <c r="A4" s="234" t="str">
        <f>Index!D13</f>
        <v>For the 12 Months Ended April 30, 2020</v>
      </c>
      <c r="B4" s="234"/>
      <c r="C4" s="234"/>
      <c r="D4" s="234"/>
      <c r="E4" s="234"/>
      <c r="F4" s="234"/>
    </row>
    <row r="5" spans="1:7" x14ac:dyDescent="0.25">
      <c r="A5" s="233" t="s">
        <v>95</v>
      </c>
      <c r="B5" s="233"/>
      <c r="C5" s="233"/>
      <c r="D5" s="233"/>
      <c r="E5" s="233"/>
      <c r="F5" s="233"/>
      <c r="G5" s="183"/>
    </row>
    <row r="10" spans="1:7" x14ac:dyDescent="0.25">
      <c r="A10" s="213" t="s">
        <v>65</v>
      </c>
      <c r="B10" s="184"/>
      <c r="C10" s="184"/>
      <c r="D10" s="184"/>
      <c r="E10" s="184"/>
      <c r="F10" s="185" t="s">
        <v>176</v>
      </c>
    </row>
    <row r="11" spans="1:7" x14ac:dyDescent="0.25">
      <c r="A11" s="184" t="s">
        <v>36</v>
      </c>
      <c r="B11" s="184"/>
      <c r="C11" s="184"/>
      <c r="D11" s="184"/>
      <c r="E11" s="184"/>
      <c r="F11" s="185"/>
    </row>
    <row r="12" spans="1:7" x14ac:dyDescent="0.25">
      <c r="A12" s="184" t="s">
        <v>37</v>
      </c>
      <c r="B12" s="184"/>
      <c r="C12" s="184"/>
      <c r="D12" s="184"/>
      <c r="E12" s="184"/>
      <c r="F12" s="126"/>
    </row>
    <row r="13" spans="1:7" x14ac:dyDescent="0.25">
      <c r="A13" s="184"/>
      <c r="B13" s="184"/>
      <c r="C13" s="184"/>
      <c r="D13" s="184"/>
      <c r="E13" s="184"/>
      <c r="F13" s="185"/>
    </row>
    <row r="14" spans="1:7" ht="48" thickBot="1" x14ac:dyDescent="0.3">
      <c r="A14" s="186" t="s">
        <v>7</v>
      </c>
      <c r="B14" s="187" t="s">
        <v>49</v>
      </c>
      <c r="C14" s="187" t="s">
        <v>175</v>
      </c>
      <c r="D14" s="188" t="s">
        <v>75</v>
      </c>
      <c r="E14" s="188"/>
      <c r="F14" s="188" t="s">
        <v>76</v>
      </c>
    </row>
    <row r="15" spans="1:7" x14ac:dyDescent="0.25">
      <c r="A15" s="189"/>
      <c r="B15" s="189"/>
      <c r="C15" s="189"/>
      <c r="D15" s="189"/>
      <c r="E15" s="189"/>
      <c r="F15" s="189"/>
    </row>
    <row r="16" spans="1:7" x14ac:dyDescent="0.25">
      <c r="A16" s="154" t="s">
        <v>123</v>
      </c>
      <c r="B16" s="190">
        <f>'Stipulation Sch M-2.2-G'!E13</f>
        <v>217967718.12771013</v>
      </c>
      <c r="C16" s="190">
        <f>'Stipulation Sch M-2.2-G'!H13</f>
        <v>231709318.53573403</v>
      </c>
      <c r="D16" s="190">
        <f>C16-B16</f>
        <v>13741600.408023894</v>
      </c>
      <c r="E16" s="190"/>
      <c r="F16" s="191">
        <f>D16/B16</f>
        <v>6.3044199967136921E-2</v>
      </c>
    </row>
    <row r="17" spans="1:8" x14ac:dyDescent="0.25">
      <c r="A17" s="154"/>
      <c r="B17" s="190"/>
      <c r="C17" s="190"/>
      <c r="D17" s="190"/>
      <c r="E17" s="190"/>
      <c r="F17" s="191"/>
    </row>
    <row r="18" spans="1:8" x14ac:dyDescent="0.25">
      <c r="A18" s="154" t="s">
        <v>50</v>
      </c>
      <c r="B18" s="190">
        <f>'Stipulation Sch M-2.2-G'!E15</f>
        <v>90494240.651483163</v>
      </c>
      <c r="C18" s="190">
        <f>'Stipulation Sch M-2.2-G'!H15</f>
        <v>96197943.539010197</v>
      </c>
      <c r="D18" s="190">
        <f>C18-B18</f>
        <v>5703702.8875270337</v>
      </c>
      <c r="E18" s="190"/>
      <c r="F18" s="191">
        <f>D18/B18</f>
        <v>6.3028352373202132E-2</v>
      </c>
    </row>
    <row r="19" spans="1:8" x14ac:dyDescent="0.25">
      <c r="A19" s="154"/>
      <c r="B19" s="190"/>
      <c r="C19" s="190"/>
      <c r="D19" s="190"/>
      <c r="E19" s="190"/>
      <c r="F19" s="191"/>
    </row>
    <row r="20" spans="1:8" x14ac:dyDescent="0.25">
      <c r="A20" s="154" t="s">
        <v>51</v>
      </c>
      <c r="B20" s="190">
        <f>'Stipulation Sch M-2.2-G'!E17</f>
        <v>10967358.877135254</v>
      </c>
      <c r="C20" s="190">
        <f>'Stipulation Sch M-2.2-G'!H17</f>
        <v>10967284.739635253</v>
      </c>
      <c r="D20" s="190">
        <f t="shared" ref="D20:D34" si="0">C20-B20</f>
        <v>-74.137500001117587</v>
      </c>
      <c r="E20" s="190"/>
      <c r="F20" s="191">
        <f t="shared" ref="F20:F36" si="1">D20/B20</f>
        <v>-6.7598316815983306E-6</v>
      </c>
      <c r="G20" s="58"/>
    </row>
    <row r="21" spans="1:8" x14ac:dyDescent="0.25">
      <c r="A21" s="154"/>
      <c r="B21" s="190"/>
      <c r="C21" s="190"/>
      <c r="D21" s="190"/>
      <c r="E21" s="190"/>
      <c r="F21" s="191"/>
    </row>
    <row r="22" spans="1:8" x14ac:dyDescent="0.25">
      <c r="A22" s="154" t="s">
        <v>14</v>
      </c>
      <c r="B22" s="190">
        <f>'Stipulation Sch M-2.2-G'!E19</f>
        <v>832734.57018943038</v>
      </c>
      <c r="C22" s="190">
        <f>'Stipulation Sch M-2.2-G'!H19</f>
        <v>832734.57018943038</v>
      </c>
      <c r="D22" s="190">
        <f t="shared" si="0"/>
        <v>0</v>
      </c>
      <c r="E22" s="190"/>
      <c r="F22" s="191">
        <f t="shared" si="1"/>
        <v>0</v>
      </c>
    </row>
    <row r="23" spans="1:8" x14ac:dyDescent="0.25">
      <c r="A23" s="154"/>
      <c r="B23" s="190"/>
      <c r="C23" s="190"/>
      <c r="D23" s="190"/>
      <c r="E23" s="190"/>
      <c r="F23" s="191"/>
    </row>
    <row r="24" spans="1:8" x14ac:dyDescent="0.25">
      <c r="A24" s="154" t="s">
        <v>53</v>
      </c>
      <c r="B24" s="190">
        <f>'Stipulation Sch M-2.2-G'!E21</f>
        <v>6552777.7692689793</v>
      </c>
      <c r="C24" s="190">
        <f>'Stipulation Sch M-2.2-G'!H21</f>
        <v>6552692.7436461346</v>
      </c>
      <c r="D24" s="190">
        <f>C24-B24</f>
        <v>-85.025622844696045</v>
      </c>
      <c r="E24" s="190"/>
      <c r="F24" s="191">
        <f>D24/B24</f>
        <v>-1.2975508378057113E-5</v>
      </c>
    </row>
    <row r="25" spans="1:8" x14ac:dyDescent="0.25">
      <c r="A25" s="154"/>
      <c r="B25" s="190"/>
      <c r="C25" s="190"/>
      <c r="D25" s="190"/>
      <c r="E25" s="190"/>
      <c r="F25" s="191"/>
    </row>
    <row r="26" spans="1:8" x14ac:dyDescent="0.25">
      <c r="A26" s="154" t="s">
        <v>52</v>
      </c>
      <c r="B26" s="190">
        <f>'Stipulation Sch M-2.2-G'!E23</f>
        <v>3766299.7771655498</v>
      </c>
      <c r="C26" s="190">
        <f>'Stipulation Sch M-2.2-G'!H23</f>
        <v>3766299.7771655498</v>
      </c>
      <c r="D26" s="190">
        <f>C26-B26</f>
        <v>0</v>
      </c>
      <c r="E26" s="190"/>
      <c r="F26" s="191">
        <f t="shared" si="1"/>
        <v>0</v>
      </c>
    </row>
    <row r="27" spans="1:8" x14ac:dyDescent="0.25">
      <c r="A27" s="154"/>
      <c r="B27" s="190"/>
      <c r="C27" s="190"/>
      <c r="D27" s="190"/>
      <c r="E27" s="190"/>
      <c r="F27" s="191"/>
    </row>
    <row r="28" spans="1:8" x14ac:dyDescent="0.25">
      <c r="A28" s="154" t="s">
        <v>54</v>
      </c>
      <c r="B28" s="192">
        <f>'Stipulation Sch M-2.2-G'!E25</f>
        <v>16523.84155477988</v>
      </c>
      <c r="C28" s="192">
        <f>'Stipulation Sch M-2.2-G'!H25</f>
        <v>16523.842015460272</v>
      </c>
      <c r="D28" s="192">
        <f t="shared" si="0"/>
        <v>4.6068039227975532E-4</v>
      </c>
      <c r="E28" s="192"/>
      <c r="F28" s="191">
        <f t="shared" si="1"/>
        <v>2.7879739148581555E-8</v>
      </c>
    </row>
    <row r="29" spans="1:8" x14ac:dyDescent="0.25">
      <c r="A29" s="154"/>
      <c r="B29" s="192"/>
      <c r="C29" s="192"/>
      <c r="D29" s="192"/>
      <c r="E29" s="192"/>
      <c r="F29" s="191"/>
      <c r="H29" s="228"/>
    </row>
    <row r="30" spans="1:8" x14ac:dyDescent="0.25">
      <c r="A30" s="154" t="s">
        <v>128</v>
      </c>
      <c r="B30" s="192">
        <f>'Stipulation Sch M-2.2-G'!E27</f>
        <v>43466.412737507228</v>
      </c>
      <c r="C30" s="192">
        <f>'Stipulation Sch M-2.2-G'!H27</f>
        <v>46227.342097488727</v>
      </c>
      <c r="D30" s="192">
        <f t="shared" si="0"/>
        <v>2760.9293599814991</v>
      </c>
      <c r="E30" s="192"/>
      <c r="F30" s="191">
        <f>IF(B30=0,0,D30/B30)</f>
        <v>6.3518684568121472E-2</v>
      </c>
      <c r="H30" s="58"/>
    </row>
    <row r="31" spans="1:8" x14ac:dyDescent="0.25">
      <c r="A31" s="154"/>
      <c r="B31" s="192"/>
      <c r="C31" s="192"/>
      <c r="D31" s="192"/>
      <c r="E31" s="192"/>
      <c r="F31" s="191"/>
      <c r="H31" s="120"/>
    </row>
    <row r="32" spans="1:8" x14ac:dyDescent="0.25">
      <c r="A32" s="154" t="s">
        <v>129</v>
      </c>
      <c r="B32" s="192">
        <f>'Stipulation Sch M-2.2-G'!E29</f>
        <v>0</v>
      </c>
      <c r="C32" s="192">
        <f>'Stipulation Sch M-2.2-G'!H29</f>
        <v>0</v>
      </c>
      <c r="D32" s="192">
        <f t="shared" si="0"/>
        <v>0</v>
      </c>
      <c r="E32" s="192"/>
      <c r="F32" s="191">
        <f>IF(B32=0,0,D32/B32)</f>
        <v>0</v>
      </c>
    </row>
    <row r="33" spans="1:9" x14ac:dyDescent="0.25">
      <c r="A33" s="154"/>
      <c r="B33" s="192"/>
      <c r="C33" s="192"/>
      <c r="D33" s="192"/>
      <c r="E33" s="192"/>
      <c r="F33" s="191"/>
    </row>
    <row r="34" spans="1:9" x14ac:dyDescent="0.25">
      <c r="A34" s="154" t="s">
        <v>130</v>
      </c>
      <c r="B34" s="192">
        <f>'Stipulation Sch M-2.2-G'!E31</f>
        <v>0</v>
      </c>
      <c r="C34" s="192">
        <f>'Stipulation Sch M-2.2-G'!H31</f>
        <v>0</v>
      </c>
      <c r="D34" s="192">
        <f t="shared" si="0"/>
        <v>0</v>
      </c>
      <c r="E34" s="192"/>
      <c r="F34" s="191">
        <f>IF(B34=0,0,D34/B34)</f>
        <v>0</v>
      </c>
    </row>
    <row r="35" spans="1:9" x14ac:dyDescent="0.25">
      <c r="A35" s="154"/>
      <c r="B35" s="192"/>
      <c r="C35" s="192"/>
      <c r="D35" s="192"/>
      <c r="E35" s="192"/>
      <c r="F35" s="193"/>
    </row>
    <row r="36" spans="1:9" x14ac:dyDescent="0.25">
      <c r="A36" s="194" t="s">
        <v>84</v>
      </c>
      <c r="B36" s="195">
        <f>SUM(B16:B34)</f>
        <v>330641120.02724475</v>
      </c>
      <c r="C36" s="195">
        <f>SUM(C16:C34)</f>
        <v>350089025.08949345</v>
      </c>
      <c r="D36" s="195">
        <f>SUM(D16:D34)</f>
        <v>19447905.06224874</v>
      </c>
      <c r="E36" s="195"/>
      <c r="F36" s="196">
        <f t="shared" si="1"/>
        <v>5.8818773238628753E-2</v>
      </c>
      <c r="H36" s="120"/>
    </row>
    <row r="37" spans="1:9" x14ac:dyDescent="0.25">
      <c r="H37" s="120"/>
      <c r="I37" s="120"/>
    </row>
    <row r="38" spans="1:9" x14ac:dyDescent="0.25">
      <c r="A38" s="154" t="s">
        <v>85</v>
      </c>
    </row>
    <row r="39" spans="1:9" ht="18" x14ac:dyDescent="0.4">
      <c r="A39" s="197" t="s">
        <v>160</v>
      </c>
      <c r="B39" s="165">
        <v>1065948.9200000004</v>
      </c>
      <c r="C39" s="165">
        <f>B39-97753.41</f>
        <v>968195.51000000036</v>
      </c>
      <c r="D39" s="190">
        <f>C39-B39</f>
        <v>-97753.410000000033</v>
      </c>
      <c r="E39" s="230" t="s">
        <v>173</v>
      </c>
      <c r="F39" s="191">
        <f>D39/B39</f>
        <v>-9.1705529379400283E-2</v>
      </c>
    </row>
    <row r="40" spans="1:9" x14ac:dyDescent="0.25">
      <c r="A40" s="197" t="s">
        <v>33</v>
      </c>
      <c r="B40" s="165">
        <v>90991.793333333335</v>
      </c>
      <c r="C40" s="165">
        <f>B40-20144</f>
        <v>70847.793333333335</v>
      </c>
      <c r="D40" s="190">
        <f t="shared" ref="D40:D42" si="2">C40-B40</f>
        <v>-20144</v>
      </c>
      <c r="E40" s="190"/>
      <c r="F40" s="191">
        <f t="shared" ref="F40:F42" si="3">D40/B40</f>
        <v>-0.22138260234311241</v>
      </c>
    </row>
    <row r="41" spans="1:9" x14ac:dyDescent="0.25">
      <c r="A41" s="197" t="s">
        <v>86</v>
      </c>
      <c r="B41" s="165">
        <v>374342.39</v>
      </c>
      <c r="C41" s="165">
        <f t="shared" ref="C41:C42" si="4">B41</f>
        <v>374342.39</v>
      </c>
      <c r="D41" s="190">
        <f t="shared" si="2"/>
        <v>0</v>
      </c>
      <c r="E41" s="190"/>
      <c r="F41" s="191">
        <f t="shared" si="3"/>
        <v>0</v>
      </c>
    </row>
    <row r="42" spans="1:9" x14ac:dyDescent="0.25">
      <c r="A42" s="197" t="s">
        <v>32</v>
      </c>
      <c r="B42" s="165">
        <v>325.85000000000042</v>
      </c>
      <c r="C42" s="165">
        <f t="shared" si="4"/>
        <v>325.85000000000042</v>
      </c>
      <c r="D42" s="190">
        <f t="shared" si="2"/>
        <v>0</v>
      </c>
      <c r="E42" s="190"/>
      <c r="F42" s="191">
        <f t="shared" si="3"/>
        <v>0</v>
      </c>
    </row>
    <row r="43" spans="1:9" x14ac:dyDescent="0.25">
      <c r="B43" s="58"/>
    </row>
    <row r="44" spans="1:9" ht="16.5" thickBot="1" x14ac:dyDescent="0.3">
      <c r="A44" s="194" t="s">
        <v>12</v>
      </c>
      <c r="B44" s="198">
        <f>SUM(B36:B42)</f>
        <v>332172728.98057812</v>
      </c>
      <c r="C44" s="198">
        <f t="shared" ref="C44:D44" si="5">SUM(C36:C42)</f>
        <v>351502736.63282681</v>
      </c>
      <c r="D44" s="198">
        <f t="shared" si="5"/>
        <v>19330007.65224874</v>
      </c>
      <c r="E44" s="198"/>
      <c r="F44" s="224">
        <f t="shared" ref="F44" si="6">D44/B44</f>
        <v>5.8192638846577167E-2</v>
      </c>
    </row>
    <row r="45" spans="1:9" ht="16.5" thickTop="1" x14ac:dyDescent="0.25">
      <c r="A45" s="194"/>
      <c r="B45" s="229"/>
      <c r="C45" s="229"/>
      <c r="D45" s="229"/>
      <c r="E45" s="229"/>
      <c r="F45" s="193"/>
    </row>
    <row r="46" spans="1:9" ht="47.25" customHeight="1" x14ac:dyDescent="0.25">
      <c r="A46" s="232" t="s">
        <v>174</v>
      </c>
      <c r="B46" s="232"/>
      <c r="C46" s="232"/>
      <c r="D46" s="232"/>
      <c r="E46" s="232"/>
      <c r="F46" s="232"/>
    </row>
    <row r="47" spans="1:9" x14ac:dyDescent="0.25">
      <c r="A47" s="231"/>
      <c r="B47" s="231"/>
      <c r="C47" s="231"/>
      <c r="D47" s="231"/>
      <c r="E47" s="231"/>
      <c r="F47" s="231"/>
    </row>
    <row r="48" spans="1:9" x14ac:dyDescent="0.25">
      <c r="A48" s="231"/>
      <c r="B48" s="231"/>
      <c r="C48" s="231"/>
      <c r="D48" s="231"/>
      <c r="E48" s="231"/>
      <c r="F48" s="231"/>
    </row>
    <row r="50" spans="2:6" x14ac:dyDescent="0.25">
      <c r="C50" s="214" t="s">
        <v>161</v>
      </c>
      <c r="D50" s="215">
        <v>24925739.168336518</v>
      </c>
      <c r="E50" s="215"/>
      <c r="F50" s="58"/>
    </row>
    <row r="51" spans="2:6" x14ac:dyDescent="0.25">
      <c r="C51" s="214" t="s">
        <v>162</v>
      </c>
      <c r="D51" s="216">
        <v>25043636.578336518</v>
      </c>
      <c r="E51" s="216"/>
    </row>
    <row r="52" spans="2:6" x14ac:dyDescent="0.25">
      <c r="D52" s="60">
        <f>D36-D51</f>
        <v>-5595731.5160877779</v>
      </c>
      <c r="E52" s="60"/>
    </row>
    <row r="54" spans="2:6" ht="18" x14ac:dyDescent="0.4">
      <c r="B54" s="218" t="s">
        <v>166</v>
      </c>
      <c r="C54" s="125"/>
      <c r="D54" s="125"/>
      <c r="E54" s="125"/>
      <c r="F54" s="219" t="s">
        <v>10</v>
      </c>
    </row>
    <row r="55" spans="2:6" x14ac:dyDescent="0.25">
      <c r="B55" s="220" t="s">
        <v>167</v>
      </c>
      <c r="C55" s="125"/>
      <c r="D55" s="125"/>
      <c r="E55" s="125"/>
      <c r="F55" s="125">
        <v>0</v>
      </c>
    </row>
    <row r="56" spans="2:6" x14ac:dyDescent="0.25">
      <c r="B56" s="220" t="s">
        <v>168</v>
      </c>
      <c r="C56" s="125"/>
      <c r="D56" s="125"/>
      <c r="E56" s="125"/>
      <c r="F56" s="125">
        <v>0</v>
      </c>
    </row>
    <row r="57" spans="2:6" x14ac:dyDescent="0.25">
      <c r="B57" s="220" t="s">
        <v>169</v>
      </c>
      <c r="C57" s="125"/>
      <c r="D57" s="125"/>
      <c r="E57" s="125"/>
      <c r="F57" s="125">
        <v>-20144</v>
      </c>
    </row>
    <row r="58" spans="2:6" x14ac:dyDescent="0.25">
      <c r="B58" s="220" t="s">
        <v>170</v>
      </c>
      <c r="C58" s="125"/>
      <c r="D58" s="125"/>
      <c r="E58" s="125"/>
      <c r="F58" s="125">
        <v>-97753</v>
      </c>
    </row>
    <row r="59" spans="2:6" ht="18" x14ac:dyDescent="0.4">
      <c r="B59" s="220" t="s">
        <v>171</v>
      </c>
      <c r="C59" s="125"/>
      <c r="D59" s="125"/>
      <c r="E59" s="125"/>
      <c r="F59" s="222">
        <v>0</v>
      </c>
    </row>
    <row r="60" spans="2:6" ht="18" x14ac:dyDescent="0.4">
      <c r="B60" s="125"/>
      <c r="C60" s="125"/>
      <c r="D60" s="125"/>
      <c r="E60" s="125"/>
      <c r="F60" s="221">
        <f>SUM(F55:F59)</f>
        <v>-117897</v>
      </c>
    </row>
    <row r="61" spans="2:6" x14ac:dyDescent="0.25">
      <c r="B61" s="217"/>
      <c r="C61" s="217"/>
      <c r="D61" s="217"/>
      <c r="E61" s="217"/>
      <c r="F61" s="217"/>
    </row>
  </sheetData>
  <mergeCells count="6">
    <mergeCell ref="A46:F46"/>
    <mergeCell ref="A1:F1"/>
    <mergeCell ref="A2:F2"/>
    <mergeCell ref="A3:F3"/>
    <mergeCell ref="A4:F4"/>
    <mergeCell ref="A5:F5"/>
  </mergeCells>
  <printOptions horizontalCentered="1"/>
  <pageMargins left="0.75" right="0.75" top="1.75" bottom="0.5" header="0.75" footer="0.25"/>
  <pageSetup scale="60" orientation="portrait" r:id="rId1"/>
  <headerFooter>
    <oddHeader xml:space="preserve">&amp;C&amp;"Times New Roman,Bold"&amp;12
</oddHeader>
    <oddFooter>&amp;R&amp;"-,Bold"&amp;14Stipulation Exhibit 5
Page &amp;P of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Q128"/>
  <sheetViews>
    <sheetView view="pageBreakPreview" zoomScale="60" zoomScaleNormal="100" workbookViewId="0">
      <selection sqref="A1:K1"/>
    </sheetView>
  </sheetViews>
  <sheetFormatPr defaultColWidth="9.140625" defaultRowHeight="15.75" x14ac:dyDescent="0.25"/>
  <cols>
    <col min="1" max="1" width="68.140625" style="5" bestFit="1" customWidth="1"/>
    <col min="2" max="2" width="16" style="5" customWidth="1"/>
    <col min="3" max="3" width="19" style="5" bestFit="1" customWidth="1"/>
    <col min="4" max="4" width="15.140625" style="5" customWidth="1"/>
    <col min="5" max="5" width="23" style="5" bestFit="1" customWidth="1"/>
    <col min="6" max="6" width="23.42578125" style="5" bestFit="1" customWidth="1"/>
    <col min="7" max="7" width="22" style="5" bestFit="1" customWidth="1"/>
    <col min="8" max="8" width="23" style="5" bestFit="1" customWidth="1"/>
    <col min="9" max="9" width="22.5703125" style="5" bestFit="1" customWidth="1"/>
    <col min="10" max="10" width="15.7109375" style="5" customWidth="1"/>
    <col min="11" max="11" width="18.7109375" style="5" customWidth="1"/>
    <col min="12" max="12" width="4.140625" style="5" customWidth="1"/>
    <col min="13" max="13" width="12.5703125" style="5" customWidth="1"/>
    <col min="14" max="14" width="16" style="5" bestFit="1" customWidth="1"/>
    <col min="15" max="15" width="15.85546875" style="5" bestFit="1" customWidth="1"/>
    <col min="16" max="16" width="12.42578125" style="5" bestFit="1" customWidth="1"/>
    <col min="17" max="17" width="8.28515625" style="5" bestFit="1" customWidth="1"/>
    <col min="18" max="16384" width="9.140625" style="5"/>
  </cols>
  <sheetData>
    <row r="1" spans="1:17" x14ac:dyDescent="0.25">
      <c r="A1" s="233" t="str">
        <f>Index!A5</f>
        <v>LOUISVILLE GAS AND ELECTRIC COMPANY</v>
      </c>
      <c r="B1" s="237"/>
      <c r="C1" s="237"/>
      <c r="D1" s="237"/>
      <c r="E1" s="237"/>
      <c r="F1" s="237"/>
      <c r="G1" s="237"/>
      <c r="H1" s="237"/>
      <c r="I1" s="237"/>
      <c r="J1" s="237"/>
      <c r="K1" s="237"/>
    </row>
    <row r="2" spans="1:17" x14ac:dyDescent="0.25">
      <c r="A2" s="237" t="str">
        <f>Index!A7</f>
        <v>CASE NO. 2018-00295</v>
      </c>
      <c r="B2" s="237"/>
      <c r="C2" s="237"/>
      <c r="D2" s="237"/>
      <c r="E2" s="237"/>
      <c r="F2" s="237"/>
      <c r="G2" s="237"/>
      <c r="H2" s="237"/>
      <c r="I2" s="237"/>
      <c r="J2" s="237"/>
      <c r="K2" s="237"/>
    </row>
    <row r="3" spans="1:17" x14ac:dyDescent="0.25">
      <c r="A3" s="237" t="str">
        <f>Index!C20</f>
        <v>Average Bill Comparison at Current and Proposed Gas Rates</v>
      </c>
      <c r="B3" s="237"/>
      <c r="C3" s="237"/>
      <c r="D3" s="237"/>
      <c r="E3" s="237"/>
      <c r="F3" s="237"/>
      <c r="G3" s="237"/>
      <c r="H3" s="237"/>
      <c r="I3" s="237"/>
      <c r="J3" s="237"/>
      <c r="K3" s="237"/>
    </row>
    <row r="4" spans="1:17" x14ac:dyDescent="0.25">
      <c r="A4" s="237" t="str">
        <f>Index!D13</f>
        <v>For the 12 Months Ended April 30, 2020</v>
      </c>
      <c r="B4" s="237"/>
      <c r="C4" s="237"/>
      <c r="D4" s="237"/>
      <c r="E4" s="237"/>
      <c r="F4" s="237"/>
      <c r="G4" s="237"/>
      <c r="H4" s="237"/>
      <c r="I4" s="237"/>
      <c r="J4" s="237"/>
      <c r="K4" s="237"/>
    </row>
    <row r="5" spans="1:17" x14ac:dyDescent="0.25">
      <c r="A5" s="237" t="str">
        <f>'Stipulation Sch M-2.1-G'!A5:F5</f>
        <v>Gas Operations</v>
      </c>
      <c r="B5" s="237"/>
      <c r="C5" s="237"/>
      <c r="D5" s="237"/>
      <c r="E5" s="237"/>
      <c r="F5" s="237"/>
      <c r="G5" s="237"/>
      <c r="H5" s="237"/>
      <c r="I5" s="237"/>
      <c r="J5" s="237"/>
      <c r="K5" s="237"/>
    </row>
    <row r="7" spans="1:17" x14ac:dyDescent="0.25">
      <c r="A7" s="143" t="str">
        <f>'Stipulation Sch M-2.1-G'!A10</f>
        <v>DATA:  ____ BASE PERIOD  __X__  FORECAST PERIOD</v>
      </c>
      <c r="K7" s="144" t="str">
        <f>"Schedule "&amp;Index!A20</f>
        <v>Schedule M-2.2-G</v>
      </c>
      <c r="L7" s="144"/>
    </row>
    <row r="8" spans="1:17" x14ac:dyDescent="0.25">
      <c r="A8" s="145" t="str">
        <f>'Stipulation Sch M-2.1-G'!A11</f>
        <v>TYPE OF FILING: __X__ ORIGINAL  _____ UPDATED  _____ REVISED</v>
      </c>
      <c r="K8" s="146" t="s">
        <v>68</v>
      </c>
      <c r="L8" s="144"/>
    </row>
    <row r="9" spans="1:17" x14ac:dyDescent="0.25">
      <c r="A9" s="145" t="str">
        <f>'Stipulation Sch M-2.1-G'!A12</f>
        <v>WORK PAPER REFERENCE NO(S):</v>
      </c>
      <c r="J9" s="146"/>
      <c r="K9" s="126" t="s">
        <v>163</v>
      </c>
      <c r="L9" s="146"/>
    </row>
    <row r="10" spans="1:17" x14ac:dyDescent="0.25">
      <c r="A10" s="145"/>
      <c r="L10" s="146"/>
    </row>
    <row r="11" spans="1:17" ht="57" customHeight="1" thickBot="1" x14ac:dyDescent="0.3">
      <c r="A11" s="147"/>
      <c r="B11" s="148" t="s">
        <v>55</v>
      </c>
      <c r="C11" s="148" t="s">
        <v>77</v>
      </c>
      <c r="D11" s="148" t="s">
        <v>69</v>
      </c>
      <c r="E11" s="148" t="s">
        <v>56</v>
      </c>
      <c r="F11" s="149" t="s">
        <v>57</v>
      </c>
      <c r="G11" s="149" t="s">
        <v>70</v>
      </c>
      <c r="H11" s="148" t="s">
        <v>71</v>
      </c>
      <c r="I11" s="148" t="s">
        <v>72</v>
      </c>
      <c r="J11" s="148" t="s">
        <v>73</v>
      </c>
      <c r="K11" s="148" t="s">
        <v>74</v>
      </c>
      <c r="L11" s="150"/>
      <c r="M11" s="240"/>
      <c r="N11" s="1"/>
      <c r="O11" s="1"/>
    </row>
    <row r="12" spans="1:17" x14ac:dyDescent="0.25">
      <c r="B12" s="151"/>
      <c r="C12" s="151"/>
      <c r="D12" s="151"/>
      <c r="E12" s="152"/>
      <c r="F12" s="131"/>
      <c r="G12" s="131"/>
      <c r="H12" s="152"/>
      <c r="I12" s="153"/>
      <c r="J12" s="152"/>
      <c r="K12" s="152"/>
      <c r="L12" s="152"/>
      <c r="M12" s="1"/>
      <c r="N12" s="1"/>
      <c r="O12" s="1"/>
    </row>
    <row r="13" spans="1:17" x14ac:dyDescent="0.25">
      <c r="A13" s="154" t="s">
        <v>123</v>
      </c>
      <c r="B13" s="155">
        <f>'Stipulation Sch M-2.3 Pg. 2-11'!E20</f>
        <v>3587761</v>
      </c>
      <c r="C13" s="155">
        <f>'Stipulation Sch M-2.3 Pg. 2-11'!F22</f>
        <v>19344464.899848823</v>
      </c>
      <c r="D13" s="156">
        <f>ROUND(C13/B13,3)</f>
        <v>5.3920000000000003</v>
      </c>
      <c r="E13" s="133">
        <f>'Stipulation Sch M-2.3 Pg. 2-11'!I31</f>
        <v>217967718.12771013</v>
      </c>
      <c r="F13" s="157">
        <f>(E13/C13)*D13</f>
        <v>60.755463758203931</v>
      </c>
      <c r="G13" s="133">
        <f>'Stipulation Sch M-2.3 Pg.1'!G15</f>
        <v>13741600.408023894</v>
      </c>
      <c r="H13" s="133">
        <f>'Stipulation Sch M-2.3 Pg. 2-11'!L31</f>
        <v>231709318.53573403</v>
      </c>
      <c r="I13" s="158">
        <f>(H13/C13)*D13</f>
        <v>64.585743364472279</v>
      </c>
      <c r="J13" s="159">
        <f>I13-F13</f>
        <v>3.8302796062683484</v>
      </c>
      <c r="K13" s="135">
        <f>J13/F13</f>
        <v>6.3044199967136921E-2</v>
      </c>
      <c r="L13" s="120"/>
      <c r="M13" s="225"/>
      <c r="N13" s="1"/>
      <c r="O13" s="1"/>
    </row>
    <row r="14" spans="1:17" x14ac:dyDescent="0.25">
      <c r="A14" s="154"/>
      <c r="B14" s="155"/>
      <c r="C14" s="155"/>
      <c r="D14" s="156"/>
      <c r="E14" s="133"/>
      <c r="F14" s="157"/>
      <c r="G14" s="133"/>
      <c r="H14" s="133"/>
      <c r="I14" s="158"/>
      <c r="J14" s="159"/>
      <c r="K14" s="159"/>
      <c r="L14" s="79"/>
      <c r="M14" s="1"/>
      <c r="N14" s="1"/>
      <c r="O14" s="1"/>
    </row>
    <row r="15" spans="1:17" x14ac:dyDescent="0.25">
      <c r="A15" s="154" t="s">
        <v>50</v>
      </c>
      <c r="B15" s="155">
        <f>'Stipulation Sch M-2.3 Pg. 2-11'!E41+'Stipulation Sch M-2.3 Pg. 2-11'!E42+'Stipulation Sch M-2.3 Pg. 2-11'!E55</f>
        <v>300937</v>
      </c>
      <c r="C15" s="155">
        <f>'Stipulation Sch M-2.3 Pg. 2-11'!F46+'Stipulation Sch M-2.3 Pg. 2-11'!G47+'Stipulation Sch M-2.3 Pg. 2-11'!F62+'Stipulation Sch M-2.3 Pg. 2-11'!G63</f>
        <v>9951330.4410314187</v>
      </c>
      <c r="D15" s="156">
        <f>ROUND(C15/B15,3)</f>
        <v>33.067999999999998</v>
      </c>
      <c r="E15" s="133">
        <f>'Stipulation Sch M-2.3 Pg. 2-11'!I75</f>
        <v>90494240.651483163</v>
      </c>
      <c r="F15" s="157">
        <f>(E15/C15)*D15</f>
        <v>300.70989679175875</v>
      </c>
      <c r="G15" s="133">
        <f>'Stipulation Sch M-2.3 Pg.1'!G17</f>
        <v>5703702.8875270337</v>
      </c>
      <c r="H15" s="133">
        <f>'Stipulation Sch M-2.3 Pg. 2-11'!L75</f>
        <v>96197943.539010197</v>
      </c>
      <c r="I15" s="158">
        <f>(H15/C15)*D15</f>
        <v>319.66314612885901</v>
      </c>
      <c r="J15" s="159">
        <f>I15-F15</f>
        <v>18.95324933710026</v>
      </c>
      <c r="K15" s="135">
        <f>J15/F15</f>
        <v>6.3028352373202284E-2</v>
      </c>
      <c r="L15" s="120"/>
      <c r="M15" s="225"/>
      <c r="N15" s="1"/>
      <c r="O15" s="1"/>
      <c r="Q15" s="58"/>
    </row>
    <row r="16" spans="1:17" x14ac:dyDescent="0.25">
      <c r="A16" s="154"/>
      <c r="B16" s="155"/>
      <c r="C16" s="155"/>
      <c r="D16" s="156"/>
      <c r="E16" s="133"/>
      <c r="F16" s="157"/>
      <c r="G16" s="133"/>
      <c r="H16" s="133"/>
      <c r="I16" s="158"/>
      <c r="J16" s="159"/>
      <c r="K16" s="159"/>
      <c r="L16" s="79"/>
      <c r="M16" s="1"/>
      <c r="N16" s="1"/>
      <c r="O16" s="1"/>
      <c r="Q16" s="58"/>
    </row>
    <row r="17" spans="1:15" x14ac:dyDescent="0.25">
      <c r="A17" s="154" t="s">
        <v>51</v>
      </c>
      <c r="B17" s="160">
        <f>'Stipulation Sch M-2.3 Pg. 2-11'!E84+'Stipulation Sch M-2.3 Pg. 2-11'!E85+'Stipulation Sch M-2.3 Pg. 2-11'!E96</f>
        <v>3006</v>
      </c>
      <c r="C17" s="160">
        <f>'Stipulation Sch M-2.3 Pg. 2-11'!F89+'Stipulation Sch M-2.3 Pg. 2-11'!G90+'Stipulation Sch M-2.3 Pg. 2-11'!F103+'Stipulation Sch M-2.3 Pg. 2-11'!G104</f>
        <v>1793665.3165974165</v>
      </c>
      <c r="D17" s="156">
        <f>ROUND(C17/B17,3)</f>
        <v>596.69500000000005</v>
      </c>
      <c r="E17" s="136">
        <f>'Stipulation Sch M-2.3 Pg. 2-11'!I116</f>
        <v>10967358.877135254</v>
      </c>
      <c r="F17" s="157">
        <f>(E17/C17)*D17</f>
        <v>3648.4890155575454</v>
      </c>
      <c r="G17" s="133">
        <f>'Stipulation Sch M-2.3 Pg.1'!G19</f>
        <v>-74.137500001117587</v>
      </c>
      <c r="H17" s="133">
        <f>'Stipulation Sch M-2.3 Pg. 2-11'!L116</f>
        <v>10967284.739635253</v>
      </c>
      <c r="I17" s="158">
        <f>(H17/C17)*D17</f>
        <v>3648.4643523859081</v>
      </c>
      <c r="J17" s="159">
        <f>I17-F17</f>
        <v>-2.4663171637257619E-2</v>
      </c>
      <c r="K17" s="135">
        <f>J17/F17</f>
        <v>-6.7598316815786566E-6</v>
      </c>
      <c r="L17" s="120"/>
      <c r="M17" s="225"/>
      <c r="N17" s="1"/>
      <c r="O17" s="1"/>
    </row>
    <row r="18" spans="1:15" x14ac:dyDescent="0.25">
      <c r="A18" s="154"/>
      <c r="B18" s="160"/>
      <c r="C18" s="160"/>
      <c r="D18" s="161"/>
      <c r="E18" s="136"/>
      <c r="F18" s="158"/>
      <c r="G18" s="133"/>
      <c r="H18" s="133"/>
      <c r="I18" s="158"/>
      <c r="J18" s="159"/>
      <c r="K18" s="159"/>
      <c r="L18" s="79"/>
      <c r="M18" s="1"/>
      <c r="N18" s="1"/>
      <c r="O18" s="1"/>
    </row>
    <row r="19" spans="1:15" x14ac:dyDescent="0.25">
      <c r="A19" s="154" t="s">
        <v>14</v>
      </c>
      <c r="B19" s="160">
        <f>'Stipulation Sch M-2.3 Pg. 2-11'!E125+'Stipulation Sch M-2.3 Pg. 2-11'!E132</f>
        <v>60</v>
      </c>
      <c r="C19" s="160">
        <f>'Stipulation Sch M-2.3 Pg. 2-11'!F126+'Stipulation Sch M-2.3 Pg. 2-11'!F135</f>
        <v>215901.63499759394</v>
      </c>
      <c r="D19" s="156">
        <f>ROUND(C19/B19,3)</f>
        <v>3598.3609999999999</v>
      </c>
      <c r="E19" s="136">
        <f>'Stipulation Sch M-2.3 Pg. 2-11'!I147</f>
        <v>832734.57018943038</v>
      </c>
      <c r="F19" s="157">
        <f>(E19/C19)*D19</f>
        <v>13878.911110398967</v>
      </c>
      <c r="G19" s="133">
        <f>'Stipulation Sch M-2.3 Pg.1'!G21</f>
        <v>0</v>
      </c>
      <c r="H19" s="133">
        <f>'Stipulation Sch M-2.3 Pg. 2-11'!L147</f>
        <v>832734.57018943038</v>
      </c>
      <c r="I19" s="158">
        <f>(H19/C19)*D19</f>
        <v>13878.911110398967</v>
      </c>
      <c r="J19" s="159">
        <f>I19-F19</f>
        <v>0</v>
      </c>
      <c r="K19" s="135">
        <f>J19/F19</f>
        <v>0</v>
      </c>
      <c r="L19" s="120"/>
      <c r="M19" s="225"/>
      <c r="N19" s="1"/>
      <c r="O19" s="1"/>
    </row>
    <row r="20" spans="1:15" x14ac:dyDescent="0.25">
      <c r="A20" s="154"/>
      <c r="B20" s="160"/>
      <c r="C20" s="160"/>
      <c r="D20" s="161"/>
      <c r="E20" s="136"/>
      <c r="F20" s="158"/>
      <c r="G20" s="133"/>
      <c r="H20" s="133"/>
      <c r="I20" s="158"/>
      <c r="J20" s="159"/>
      <c r="K20" s="159"/>
      <c r="L20" s="79"/>
      <c r="M20" s="1"/>
      <c r="N20" s="1"/>
      <c r="O20" s="1"/>
    </row>
    <row r="21" spans="1:15" x14ac:dyDescent="0.25">
      <c r="A21" s="154" t="s">
        <v>53</v>
      </c>
      <c r="B21" s="162">
        <f>'Stipulation Sch M-2.3 Pg. 2-11'!E155</f>
        <v>924</v>
      </c>
      <c r="C21" s="160">
        <f>'Stipulation Sch M-2.3 Pg. 2-11'!F158</f>
        <v>13291726.750302574</v>
      </c>
      <c r="D21" s="156">
        <f>ROUND(C21/B21,3)</f>
        <v>14384.986000000001</v>
      </c>
      <c r="E21" s="136">
        <f>'Stipulation Sch M-2.3 Pg. 2-11'!I171</f>
        <v>6552777.7692689793</v>
      </c>
      <c r="F21" s="157">
        <f>(E21/C21)*D21</f>
        <v>7091.7509999142685</v>
      </c>
      <c r="G21" s="133">
        <f>'Stipulation Sch M-2.3 Pg.1'!G23</f>
        <v>-85.025622844696045</v>
      </c>
      <c r="H21" s="133">
        <f>'Stipulation Sch M-2.3 Pg. 2-11'!L171</f>
        <v>6552692.7436461346</v>
      </c>
      <c r="I21" s="158">
        <f>(H21/C21)*D21</f>
        <v>7091.6589808397539</v>
      </c>
      <c r="J21" s="159">
        <f>I21-F21</f>
        <v>-9.2019074514610111E-2</v>
      </c>
      <c r="K21" s="135">
        <f>J21/F21</f>
        <v>-1.2975508378075107E-5</v>
      </c>
      <c r="L21" s="120"/>
      <c r="M21" s="225"/>
      <c r="N21" s="1"/>
      <c r="O21" s="1"/>
    </row>
    <row r="22" spans="1:15" x14ac:dyDescent="0.25">
      <c r="A22" s="154"/>
      <c r="B22" s="160"/>
      <c r="C22" s="160"/>
      <c r="D22" s="161"/>
      <c r="E22" s="136"/>
      <c r="F22" s="158"/>
      <c r="G22" s="133"/>
      <c r="H22" s="133"/>
      <c r="I22" s="158"/>
      <c r="J22" s="159"/>
      <c r="K22" s="159"/>
      <c r="L22" s="79"/>
      <c r="M22" s="1"/>
      <c r="N22" s="1"/>
      <c r="O22" s="1"/>
    </row>
    <row r="23" spans="1:15" x14ac:dyDescent="0.25">
      <c r="A23" s="154" t="s">
        <v>52</v>
      </c>
      <c r="B23" s="54">
        <f>'Stipulation Sch M-2.3 Pg. 2-11'!E180</f>
        <v>12</v>
      </c>
      <c r="C23" s="160">
        <f>'Stipulation Sch M-2.3 Pg. 2-11'!F181</f>
        <v>404400.4</v>
      </c>
      <c r="D23" s="156">
        <f>ROUND(C23/B23,3)</f>
        <v>33700.033000000003</v>
      </c>
      <c r="E23" s="136">
        <f>'Stipulation Sch M-2.3 Pg. 2-11'!I191</f>
        <v>3766299.7771655498</v>
      </c>
      <c r="F23" s="157">
        <f>(E23/C23)*D23</f>
        <v>313858.31165936455</v>
      </c>
      <c r="G23" s="133">
        <f>'Stipulation Sch M-2.3 Pg.1'!G25</f>
        <v>0</v>
      </c>
      <c r="H23" s="133">
        <f>'Stipulation Sch M-2.3 Pg. 2-11'!L191</f>
        <v>3766299.7771655498</v>
      </c>
      <c r="I23" s="158">
        <f>(H23/C23)*D23</f>
        <v>313858.31165936455</v>
      </c>
      <c r="J23" s="205">
        <f>I23-F23</f>
        <v>0</v>
      </c>
      <c r="K23" s="135">
        <f>J23/F23</f>
        <v>0</v>
      </c>
      <c r="L23" s="120"/>
      <c r="M23" s="225"/>
      <c r="N23" s="1"/>
      <c r="O23" s="1"/>
    </row>
    <row r="24" spans="1:15" x14ac:dyDescent="0.25">
      <c r="A24" s="154"/>
      <c r="B24" s="54"/>
      <c r="C24" s="160"/>
      <c r="D24" s="161"/>
      <c r="E24" s="136"/>
      <c r="F24" s="158"/>
      <c r="G24" s="133"/>
      <c r="H24" s="133"/>
      <c r="I24" s="158"/>
      <c r="J24" s="159"/>
      <c r="K24" s="159"/>
      <c r="L24" s="79"/>
      <c r="M24" s="1"/>
      <c r="N24" s="1"/>
      <c r="O24" s="1"/>
    </row>
    <row r="25" spans="1:15" x14ac:dyDescent="0.25">
      <c r="A25" s="154" t="s">
        <v>54</v>
      </c>
      <c r="B25" s="160">
        <f>'Stipulation Sch M-2.3 Pg. 2-11'!E200+'Stipulation Sch M-2.3 Pg. 2-11'!E201+'Stipulation Sch M-2.3 Pg. 2-11'!E209</f>
        <v>24</v>
      </c>
      <c r="C25" s="160">
        <f>'Stipulation Sch M-2.3 Pg. 2-11'!F202+'Stipulation Sch M-2.3 Pg. 2-11'!F213</f>
        <v>8.3905771403462044</v>
      </c>
      <c r="D25" s="156">
        <f>ROUND(C25/B25,3)</f>
        <v>0.35</v>
      </c>
      <c r="E25" s="136">
        <f>'Stipulation Sch M-2.3 Pg. 2-11'!I226</f>
        <v>16523.84155477988</v>
      </c>
      <c r="F25" s="157">
        <f>(E25/C25)*D25</f>
        <v>689.26659602039365</v>
      </c>
      <c r="G25" s="133">
        <f>'Stipulation Sch M-2.3 Pg.1'!G27</f>
        <v>0</v>
      </c>
      <c r="H25" s="133">
        <f>'Stipulation Sch M-2.3 Pg. 2-11'!L226</f>
        <v>16523.842015460272</v>
      </c>
      <c r="I25" s="158">
        <f>(H25/C25)*D25</f>
        <v>689.26661523696669</v>
      </c>
      <c r="J25" s="204">
        <f>ROUND(I25-F25,0)</f>
        <v>0</v>
      </c>
      <c r="K25" s="135">
        <f>J25/F25</f>
        <v>0</v>
      </c>
      <c r="L25" s="120"/>
      <c r="M25" s="225"/>
      <c r="N25" s="1"/>
      <c r="O25" s="1"/>
    </row>
    <row r="26" spans="1:15" x14ac:dyDescent="0.25">
      <c r="B26" s="131"/>
      <c r="C26" s="155"/>
      <c r="D26" s="131"/>
      <c r="E26" s="133"/>
      <c r="F26" s="163"/>
      <c r="G26" s="133"/>
      <c r="H26" s="133"/>
      <c r="I26" s="136"/>
      <c r="J26" s="131"/>
      <c r="K26" s="131"/>
      <c r="M26" s="1"/>
      <c r="N26" s="1"/>
      <c r="O26" s="1"/>
    </row>
    <row r="27" spans="1:15" x14ac:dyDescent="0.25">
      <c r="A27" s="5" t="s">
        <v>126</v>
      </c>
      <c r="B27" s="155">
        <f>'Stipulation Sch M-2.3 Pg. 2-11'!E235</f>
        <v>12</v>
      </c>
      <c r="C27" s="155">
        <f>'Stipulation Sch M-2.3 Pg. 2-11'!F236</f>
        <v>1497.8666049837539</v>
      </c>
      <c r="D27" s="156">
        <f>ROUND(C27/B27,3)</f>
        <v>124.822</v>
      </c>
      <c r="E27" s="133">
        <f>'Stipulation Sch M-2.3 Pg. 2-11'!I246</f>
        <v>43466.412737507228</v>
      </c>
      <c r="F27" s="157">
        <f>(E27/C27)*D27</f>
        <v>3622.1947619828093</v>
      </c>
      <c r="G27" s="133">
        <f>'Stipulation Sch M-2.3 Pg. 2-11'!L248</f>
        <v>2760.9293599814991</v>
      </c>
      <c r="H27" s="133">
        <f>'Stipulation Sch M-2.3 Pg. 2-11'!L246</f>
        <v>46227.342097488727</v>
      </c>
      <c r="I27" s="158">
        <f>(H27/C27)*D27</f>
        <v>3852.271808513497</v>
      </c>
      <c r="J27" s="159">
        <f>I27-F27</f>
        <v>230.07704653068777</v>
      </c>
      <c r="K27" s="135">
        <f>IF(F27=0,0,J27/F27)</f>
        <v>6.3518684568121431E-2</v>
      </c>
      <c r="M27" s="225"/>
      <c r="N27" s="1"/>
      <c r="O27" s="1"/>
    </row>
    <row r="28" spans="1:15" x14ac:dyDescent="0.25">
      <c r="C28" s="164"/>
      <c r="E28" s="85"/>
      <c r="F28" s="77"/>
      <c r="G28" s="85"/>
      <c r="H28" s="85"/>
      <c r="I28" s="165"/>
      <c r="M28" s="1"/>
      <c r="N28" s="1"/>
      <c r="O28" s="1"/>
    </row>
    <row r="29" spans="1:15" x14ac:dyDescent="0.25">
      <c r="A29" s="5" t="s">
        <v>127</v>
      </c>
      <c r="B29" s="155">
        <f>'Stipulation Sch M-2.3 Pg. 2-11'!E255</f>
        <v>0</v>
      </c>
      <c r="C29" s="155">
        <f>'Stipulation Sch M-2.3 Pg. 2-11'!F256</f>
        <v>0</v>
      </c>
      <c r="D29" s="156">
        <f>IF(B29=0,0,ROUND(C29/B29,3))</f>
        <v>0</v>
      </c>
      <c r="E29" s="85">
        <f>'Stipulation Sch M-2.3 Pg. 2-11'!I266</f>
        <v>0</v>
      </c>
      <c r="F29" s="157">
        <f>IF(C29=0,0,(E29/C29)*D29)</f>
        <v>0</v>
      </c>
      <c r="G29" s="85">
        <f>'Stipulation Sch M-2.3 Pg. 2-11'!L268</f>
        <v>0</v>
      </c>
      <c r="H29" s="85">
        <f>'Stipulation Sch M-2.3 Pg. 2-11'!L266</f>
        <v>0</v>
      </c>
      <c r="I29" s="158">
        <f>IF(C29=0,0,(H29/C29)*D29)</f>
        <v>0</v>
      </c>
      <c r="J29" s="159">
        <f>I29-F29</f>
        <v>0</v>
      </c>
      <c r="K29" s="135">
        <f>IF(F29=0,0,J29/F29)</f>
        <v>0</v>
      </c>
      <c r="M29" s="225"/>
      <c r="N29" s="1"/>
      <c r="O29" s="1"/>
    </row>
    <row r="30" spans="1:15" x14ac:dyDescent="0.25">
      <c r="C30" s="164"/>
      <c r="E30" s="85"/>
      <c r="F30" s="77"/>
      <c r="G30" s="85"/>
      <c r="H30" s="85"/>
      <c r="I30" s="165"/>
      <c r="M30" s="1"/>
      <c r="N30" s="1"/>
      <c r="O30" s="1"/>
    </row>
    <row r="31" spans="1:15" x14ac:dyDescent="0.25">
      <c r="A31" s="5" t="s">
        <v>130</v>
      </c>
      <c r="B31" s="155">
        <f>'Stipulation Sch M-2.3 Pg. 2-11'!E276</f>
        <v>0</v>
      </c>
      <c r="C31" s="155">
        <f>'Stipulation Sch M-2.3 Pg. 2-11'!F277</f>
        <v>0</v>
      </c>
      <c r="D31" s="156">
        <f>IF(C31=0,0,(ROUND(C31/B31,3)))</f>
        <v>0</v>
      </c>
      <c r="E31" s="85">
        <f>'Stipulation Sch M-2.3 Pg. 2-11'!I287</f>
        <v>0</v>
      </c>
      <c r="F31" s="157">
        <f>IF(C31=0,0,((E31/C31)*D31))</f>
        <v>0</v>
      </c>
      <c r="G31" s="85">
        <f>'Stipulation Sch M-2.3 Pg. 2-11'!L289</f>
        <v>0</v>
      </c>
      <c r="H31" s="85">
        <f>'Stipulation Sch M-2.3 Pg. 2-11'!L287</f>
        <v>0</v>
      </c>
      <c r="I31" s="158">
        <f>IF(C31=0,0,((H31/C31)*D31))</f>
        <v>0</v>
      </c>
      <c r="J31" s="159">
        <f>I31-F31</f>
        <v>0</v>
      </c>
      <c r="K31" s="135">
        <f>IF(F31=0,0,J31/F31)</f>
        <v>0</v>
      </c>
      <c r="M31" s="225"/>
    </row>
    <row r="32" spans="1:15" x14ac:dyDescent="0.25">
      <c r="B32" s="1"/>
      <c r="C32" s="1"/>
      <c r="D32" s="1"/>
      <c r="E32" s="1"/>
      <c r="F32" s="1"/>
      <c r="G32" s="1"/>
      <c r="H32" s="1"/>
      <c r="I32" s="1"/>
      <c r="J32" s="1"/>
    </row>
    <row r="33" spans="1:10" x14ac:dyDescent="0.25">
      <c r="B33" s="1"/>
      <c r="C33" s="1"/>
      <c r="D33" s="1"/>
      <c r="E33" s="1"/>
      <c r="F33" s="1"/>
      <c r="G33" s="1"/>
      <c r="H33" s="1"/>
      <c r="I33" s="1"/>
      <c r="J33" s="1"/>
    </row>
    <row r="34" spans="1:10" x14ac:dyDescent="0.25">
      <c r="A34" s="166"/>
      <c r="B34" s="7"/>
      <c r="C34" s="7"/>
      <c r="D34" s="1"/>
      <c r="E34" s="7"/>
      <c r="F34" s="1"/>
      <c r="G34" s="1"/>
      <c r="H34" s="1"/>
      <c r="I34" s="1"/>
      <c r="J34" s="1"/>
    </row>
    <row r="35" spans="1:10" x14ac:dyDescent="0.25">
      <c r="A35" s="166"/>
      <c r="B35" s="3"/>
      <c r="C35" s="3"/>
      <c r="D35" s="1"/>
      <c r="E35" s="3"/>
      <c r="F35" s="1"/>
      <c r="G35" s="1"/>
      <c r="H35" s="1"/>
      <c r="I35" s="1"/>
      <c r="J35" s="1"/>
    </row>
    <row r="36" spans="1:10" x14ac:dyDescent="0.25">
      <c r="A36" s="166"/>
      <c r="B36" s="8"/>
      <c r="C36" s="8"/>
      <c r="D36" s="1"/>
      <c r="E36" s="9"/>
      <c r="F36" s="1"/>
      <c r="G36" s="1"/>
      <c r="H36" s="1"/>
      <c r="I36" s="1"/>
      <c r="J36" s="1"/>
    </row>
    <row r="37" spans="1:10" x14ac:dyDescent="0.25">
      <c r="B37" s="1"/>
      <c r="C37" s="1"/>
      <c r="D37" s="1"/>
      <c r="E37" s="1"/>
      <c r="F37" s="1"/>
      <c r="G37" s="1"/>
      <c r="H37" s="1"/>
      <c r="I37" s="1"/>
      <c r="J37" s="1"/>
    </row>
    <row r="38" spans="1:10" x14ac:dyDescent="0.25">
      <c r="B38" s="1"/>
      <c r="C38" s="1"/>
      <c r="D38" s="1"/>
      <c r="E38" s="1"/>
      <c r="F38" s="1"/>
      <c r="G38" s="1"/>
      <c r="H38" s="1"/>
      <c r="I38" s="1"/>
      <c r="J38" s="1"/>
    </row>
    <row r="39" spans="1:10" x14ac:dyDescent="0.25">
      <c r="B39" s="1"/>
      <c r="C39" s="1"/>
      <c r="D39" s="1"/>
      <c r="E39" s="1"/>
      <c r="F39" s="1"/>
      <c r="G39" s="1"/>
      <c r="H39" s="1"/>
      <c r="I39" s="1"/>
      <c r="J39" s="1"/>
    </row>
    <row r="40" spans="1:10" x14ac:dyDescent="0.25">
      <c r="B40" s="1"/>
      <c r="C40" s="1"/>
      <c r="D40" s="1"/>
      <c r="E40" s="1"/>
      <c r="F40" s="1"/>
      <c r="G40" s="1"/>
      <c r="H40" s="1"/>
      <c r="I40" s="1"/>
      <c r="J40" s="1"/>
    </row>
    <row r="41" spans="1:10" x14ac:dyDescent="0.25">
      <c r="B41" s="1"/>
      <c r="C41" s="1"/>
      <c r="D41" s="1"/>
      <c r="E41" s="1"/>
      <c r="F41" s="1"/>
      <c r="G41" s="1"/>
      <c r="H41" s="1"/>
      <c r="I41" s="1"/>
      <c r="J41" s="1"/>
    </row>
    <row r="42" spans="1:10" x14ac:dyDescent="0.25">
      <c r="B42" s="1"/>
      <c r="C42" s="1"/>
      <c r="D42" s="1"/>
      <c r="E42" s="1"/>
      <c r="F42" s="1"/>
      <c r="G42" s="1"/>
      <c r="H42" s="1"/>
      <c r="I42" s="1"/>
      <c r="J42" s="1"/>
    </row>
    <row r="43" spans="1:10" x14ac:dyDescent="0.25">
      <c r="B43" s="1"/>
      <c r="C43" s="1"/>
      <c r="D43" s="1"/>
      <c r="E43" s="1"/>
      <c r="F43" s="1"/>
      <c r="G43" s="1"/>
      <c r="H43" s="1"/>
      <c r="I43" s="1"/>
      <c r="J43" s="1"/>
    </row>
    <row r="44" spans="1:10" x14ac:dyDescent="0.25">
      <c r="B44" s="1"/>
      <c r="C44" s="1"/>
      <c r="D44" s="1"/>
      <c r="E44" s="1"/>
      <c r="F44" s="1"/>
      <c r="G44" s="1"/>
      <c r="H44" s="1"/>
      <c r="I44" s="1"/>
      <c r="J44" s="1"/>
    </row>
    <row r="45" spans="1:10" x14ac:dyDescent="0.25">
      <c r="B45" s="1"/>
      <c r="C45" s="1"/>
      <c r="D45" s="1"/>
      <c r="E45" s="1"/>
      <c r="F45" s="1"/>
      <c r="G45" s="1"/>
      <c r="H45" s="1"/>
      <c r="I45" s="1"/>
      <c r="J45" s="1"/>
    </row>
    <row r="46" spans="1:10" x14ac:dyDescent="0.25">
      <c r="B46" s="1"/>
      <c r="C46" s="1"/>
      <c r="D46" s="1"/>
      <c r="E46" s="1"/>
      <c r="F46" s="1"/>
      <c r="G46" s="1"/>
      <c r="H46" s="1"/>
      <c r="I46" s="1"/>
      <c r="J46" s="1"/>
    </row>
    <row r="47" spans="1:10" x14ac:dyDescent="0.25">
      <c r="B47" s="1"/>
      <c r="C47" s="1"/>
      <c r="D47" s="1"/>
      <c r="E47" s="1"/>
      <c r="F47" s="1"/>
      <c r="G47" s="1"/>
      <c r="H47" s="1"/>
      <c r="I47" s="1"/>
      <c r="J47" s="1"/>
    </row>
    <row r="48" spans="1:10" x14ac:dyDescent="0.25">
      <c r="B48" s="1"/>
      <c r="C48" s="1"/>
      <c r="D48" s="1"/>
      <c r="E48" s="1"/>
      <c r="F48" s="1"/>
      <c r="G48" s="1"/>
      <c r="H48" s="1"/>
      <c r="I48" s="1"/>
      <c r="J48" s="1"/>
    </row>
    <row r="49" spans="1:12" x14ac:dyDescent="0.25">
      <c r="B49" s="1"/>
      <c r="C49" s="1"/>
      <c r="D49" s="1"/>
      <c r="E49" s="1"/>
      <c r="F49" s="1"/>
      <c r="G49" s="1"/>
      <c r="H49" s="1"/>
      <c r="I49" s="1"/>
      <c r="J49" s="1"/>
    </row>
    <row r="50" spans="1:12" x14ac:dyDescent="0.25">
      <c r="A50" s="167"/>
      <c r="B50" s="1"/>
      <c r="C50" s="1"/>
      <c r="D50" s="1"/>
      <c r="E50" s="1"/>
      <c r="F50" s="1"/>
      <c r="G50" s="1"/>
      <c r="H50" s="1"/>
      <c r="I50" s="1"/>
      <c r="J50" s="1"/>
      <c r="K50" s="165"/>
      <c r="L50" s="165"/>
    </row>
    <row r="51" spans="1:12" x14ac:dyDescent="0.25">
      <c r="A51" s="168"/>
      <c r="B51" s="1"/>
      <c r="C51" s="1"/>
      <c r="D51" s="1"/>
      <c r="E51" s="1"/>
      <c r="F51" s="1"/>
      <c r="G51" s="1"/>
      <c r="H51" s="1"/>
      <c r="I51" s="1"/>
      <c r="J51" s="1"/>
      <c r="K51" s="169"/>
      <c r="L51" s="169"/>
    </row>
    <row r="52" spans="1:12" x14ac:dyDescent="0.25">
      <c r="B52" s="169"/>
      <c r="C52" s="169"/>
      <c r="D52" s="169"/>
      <c r="E52" s="169"/>
      <c r="F52" s="169"/>
      <c r="G52" s="169"/>
      <c r="H52" s="169"/>
      <c r="I52" s="169"/>
      <c r="J52" s="169"/>
      <c r="K52" s="169"/>
      <c r="L52" s="169"/>
    </row>
    <row r="53" spans="1:12" x14ac:dyDescent="0.25">
      <c r="A53" s="170"/>
      <c r="B53" s="171"/>
      <c r="C53" s="171"/>
      <c r="D53" s="171"/>
      <c r="E53" s="171"/>
      <c r="F53" s="171"/>
      <c r="G53" s="171"/>
      <c r="H53" s="165"/>
      <c r="I53" s="165"/>
      <c r="J53" s="165"/>
      <c r="K53" s="165"/>
      <c r="L53" s="165"/>
    </row>
    <row r="54" spans="1:12" ht="18" x14ac:dyDescent="0.4">
      <c r="A54" s="170"/>
      <c r="B54" s="172"/>
      <c r="C54" s="172"/>
      <c r="D54" s="172"/>
      <c r="E54" s="172"/>
      <c r="F54" s="172"/>
      <c r="G54" s="172"/>
      <c r="H54" s="172"/>
      <c r="I54" s="172"/>
      <c r="J54" s="172"/>
      <c r="K54" s="172"/>
      <c r="L54" s="172"/>
    </row>
    <row r="55" spans="1:12" x14ac:dyDescent="0.25">
      <c r="A55" s="173"/>
      <c r="B55" s="169"/>
      <c r="C55" s="169"/>
      <c r="D55" s="169"/>
      <c r="E55" s="169"/>
      <c r="F55" s="169"/>
      <c r="G55" s="169"/>
      <c r="H55" s="85"/>
      <c r="I55" s="85"/>
      <c r="J55" s="85"/>
      <c r="K55" s="85"/>
      <c r="L55" s="85"/>
    </row>
    <row r="56" spans="1:12" x14ac:dyDescent="0.25">
      <c r="B56" s="169"/>
      <c r="C56" s="169"/>
      <c r="D56" s="169"/>
      <c r="E56" s="169"/>
      <c r="F56" s="169"/>
      <c r="G56" s="169"/>
      <c r="H56" s="169"/>
      <c r="I56" s="169"/>
      <c r="J56" s="169"/>
      <c r="K56" s="169"/>
      <c r="L56" s="169"/>
    </row>
    <row r="57" spans="1:12" x14ac:dyDescent="0.25">
      <c r="B57" s="171"/>
      <c r="C57" s="171"/>
      <c r="D57" s="171"/>
      <c r="E57" s="171"/>
      <c r="F57" s="171"/>
      <c r="G57" s="171"/>
      <c r="H57" s="165"/>
      <c r="I57" s="165"/>
      <c r="J57" s="165"/>
      <c r="K57" s="165"/>
      <c r="L57" s="165"/>
    </row>
    <row r="58" spans="1:12" x14ac:dyDescent="0.25">
      <c r="B58" s="169"/>
      <c r="C58" s="169"/>
      <c r="D58" s="169"/>
      <c r="E58" s="169"/>
      <c r="F58" s="169"/>
      <c r="G58" s="169"/>
      <c r="H58" s="85"/>
      <c r="I58" s="85"/>
      <c r="J58" s="85"/>
      <c r="K58" s="85"/>
      <c r="L58" s="85"/>
    </row>
    <row r="59" spans="1:12" x14ac:dyDescent="0.25">
      <c r="B59" s="171"/>
      <c r="C59" s="171"/>
      <c r="D59" s="171"/>
      <c r="E59" s="171"/>
      <c r="F59" s="171"/>
      <c r="G59" s="171"/>
      <c r="H59" s="165"/>
      <c r="I59" s="165"/>
      <c r="J59" s="165"/>
      <c r="K59" s="165"/>
      <c r="L59" s="165"/>
    </row>
    <row r="60" spans="1:12" x14ac:dyDescent="0.25">
      <c r="B60" s="169"/>
      <c r="C60" s="169"/>
      <c r="D60" s="169"/>
      <c r="E60" s="169"/>
      <c r="F60" s="169"/>
      <c r="G60" s="169"/>
      <c r="H60" s="85"/>
      <c r="I60" s="85"/>
      <c r="J60" s="85"/>
      <c r="K60" s="85"/>
      <c r="L60" s="85"/>
    </row>
    <row r="61" spans="1:12" x14ac:dyDescent="0.25">
      <c r="B61" s="171"/>
      <c r="C61" s="171"/>
      <c r="D61" s="171"/>
      <c r="E61" s="171"/>
      <c r="F61" s="171"/>
      <c r="G61" s="171"/>
      <c r="H61" s="165"/>
      <c r="I61" s="165"/>
      <c r="J61" s="165"/>
      <c r="K61" s="165"/>
      <c r="L61" s="165"/>
    </row>
    <row r="62" spans="1:12" x14ac:dyDescent="0.25">
      <c r="B62" s="171"/>
      <c r="C62" s="171"/>
      <c r="D62" s="171"/>
      <c r="E62" s="171"/>
      <c r="F62" s="171"/>
      <c r="G62" s="171"/>
      <c r="H62" s="165"/>
      <c r="I62" s="165"/>
      <c r="J62" s="165"/>
      <c r="K62" s="165"/>
      <c r="L62" s="165"/>
    </row>
    <row r="63" spans="1:12" x14ac:dyDescent="0.25">
      <c r="B63" s="174"/>
      <c r="C63" s="174"/>
      <c r="D63" s="174"/>
      <c r="E63" s="174"/>
      <c r="F63" s="174"/>
      <c r="G63" s="174"/>
      <c r="H63" s="174"/>
      <c r="I63" s="174"/>
      <c r="J63" s="174"/>
      <c r="K63" s="174"/>
      <c r="L63" s="174"/>
    </row>
    <row r="64" spans="1:12" x14ac:dyDescent="0.25">
      <c r="B64" s="169"/>
      <c r="C64" s="169"/>
      <c r="D64" s="169"/>
      <c r="E64" s="169"/>
      <c r="F64" s="169"/>
      <c r="G64" s="169"/>
      <c r="H64" s="85"/>
      <c r="I64" s="85"/>
      <c r="J64" s="85"/>
      <c r="K64" s="85"/>
      <c r="L64" s="85"/>
    </row>
    <row r="65" spans="2:16" x14ac:dyDescent="0.25">
      <c r="B65" s="169"/>
      <c r="C65" s="169"/>
      <c r="D65" s="169"/>
      <c r="E65" s="169"/>
      <c r="F65" s="169"/>
      <c r="G65" s="169"/>
    </row>
    <row r="66" spans="2:16" ht="18" x14ac:dyDescent="0.4">
      <c r="B66" s="175"/>
      <c r="C66" s="175"/>
      <c r="D66" s="175"/>
      <c r="E66" s="175"/>
      <c r="F66" s="175"/>
      <c r="G66" s="175"/>
      <c r="H66" s="176"/>
      <c r="I66" s="176"/>
      <c r="J66" s="176"/>
      <c r="K66" s="176"/>
      <c r="L66" s="176"/>
    </row>
    <row r="68" spans="2:16" x14ac:dyDescent="0.25">
      <c r="B68" s="58"/>
      <c r="C68" s="58"/>
    </row>
    <row r="71" spans="2:16" x14ac:dyDescent="0.25">
      <c r="B71" s="169"/>
      <c r="C71" s="169"/>
      <c r="D71" s="169"/>
      <c r="E71" s="169"/>
      <c r="F71" s="169"/>
      <c r="G71" s="169"/>
      <c r="H71" s="169"/>
      <c r="I71" s="169"/>
      <c r="J71" s="169"/>
      <c r="K71" s="169"/>
      <c r="L71" s="169"/>
    </row>
    <row r="72" spans="2:16" x14ac:dyDescent="0.25">
      <c r="B72" s="169"/>
      <c r="C72" s="169"/>
      <c r="D72" s="169"/>
      <c r="E72" s="169"/>
      <c r="F72" s="169"/>
      <c r="G72" s="169"/>
      <c r="H72" s="169"/>
      <c r="I72" s="169"/>
      <c r="J72" s="169"/>
      <c r="K72" s="169"/>
      <c r="L72" s="169"/>
    </row>
    <row r="73" spans="2:16" x14ac:dyDescent="0.25">
      <c r="B73" s="169"/>
      <c r="C73" s="169"/>
      <c r="D73" s="169"/>
      <c r="E73" s="169"/>
      <c r="F73" s="169"/>
      <c r="G73" s="169"/>
      <c r="H73" s="169"/>
      <c r="I73" s="169"/>
      <c r="J73" s="169"/>
      <c r="K73" s="169"/>
      <c r="L73" s="169"/>
    </row>
    <row r="74" spans="2:16" x14ac:dyDescent="0.25">
      <c r="B74" s="169"/>
      <c r="C74" s="169"/>
      <c r="D74" s="169"/>
      <c r="E74" s="169"/>
      <c r="F74" s="169"/>
      <c r="G74" s="169"/>
      <c r="H74" s="169"/>
      <c r="I74" s="169"/>
      <c r="J74" s="169"/>
      <c r="K74" s="169"/>
      <c r="L74" s="169"/>
    </row>
    <row r="75" spans="2:16" x14ac:dyDescent="0.25">
      <c r="B75" s="171"/>
      <c r="C75" s="171"/>
      <c r="D75" s="171"/>
      <c r="E75" s="171"/>
      <c r="F75" s="171"/>
      <c r="G75" s="171"/>
      <c r="H75" s="169"/>
      <c r="I75" s="169"/>
      <c r="J75" s="169"/>
      <c r="K75" s="169"/>
      <c r="L75" s="169"/>
    </row>
    <row r="76" spans="2:16" x14ac:dyDescent="0.25">
      <c r="B76" s="164"/>
      <c r="C76" s="164"/>
      <c r="D76" s="164"/>
      <c r="E76" s="164"/>
      <c r="F76" s="164"/>
      <c r="G76" s="164"/>
      <c r="H76" s="164"/>
      <c r="I76" s="164"/>
      <c r="J76" s="164"/>
    </row>
    <row r="77" spans="2:16" x14ac:dyDescent="0.25">
      <c r="B77" s="164"/>
      <c r="C77" s="164"/>
      <c r="D77" s="164"/>
      <c r="E77" s="164"/>
      <c r="F77" s="164"/>
      <c r="G77" s="164"/>
      <c r="H77" s="164"/>
      <c r="I77" s="164"/>
      <c r="J77" s="164"/>
    </row>
    <row r="78" spans="2:16" s="178" customFormat="1" x14ac:dyDescent="0.25">
      <c r="B78" s="177"/>
      <c r="C78" s="177"/>
      <c r="D78" s="177"/>
      <c r="E78" s="177"/>
      <c r="F78" s="177"/>
      <c r="G78" s="177"/>
      <c r="H78" s="177"/>
      <c r="I78" s="177"/>
      <c r="J78" s="177"/>
      <c r="M78" s="5"/>
      <c r="N78" s="5"/>
      <c r="O78" s="5"/>
      <c r="P78" s="5"/>
    </row>
    <row r="79" spans="2:16" s="6" customFormat="1" x14ac:dyDescent="0.25">
      <c r="B79" s="179"/>
      <c r="C79" s="179"/>
      <c r="D79" s="179"/>
      <c r="E79" s="179"/>
      <c r="F79" s="179"/>
      <c r="G79" s="179"/>
      <c r="H79" s="179"/>
      <c r="I79" s="179"/>
      <c r="J79" s="179"/>
      <c r="M79" s="5"/>
      <c r="N79" s="5"/>
      <c r="O79" s="5"/>
      <c r="P79" s="5"/>
    </row>
    <row r="80" spans="2:16" s="6" customFormat="1" x14ac:dyDescent="0.25">
      <c r="B80" s="179"/>
      <c r="C80" s="179"/>
      <c r="D80" s="179"/>
      <c r="E80" s="179"/>
      <c r="F80" s="179"/>
      <c r="G80" s="179"/>
      <c r="H80" s="179"/>
      <c r="I80" s="179"/>
      <c r="J80" s="179"/>
      <c r="M80" s="5"/>
      <c r="N80" s="5"/>
      <c r="O80" s="5"/>
      <c r="P80" s="5"/>
    </row>
    <row r="81" spans="1:16" s="6" customFormat="1" x14ac:dyDescent="0.25">
      <c r="B81" s="179"/>
      <c r="C81" s="179"/>
      <c r="D81" s="179"/>
      <c r="E81" s="179"/>
      <c r="F81" s="179"/>
      <c r="G81" s="179"/>
      <c r="H81" s="179"/>
      <c r="I81" s="179"/>
      <c r="J81" s="179"/>
      <c r="M81" s="5"/>
      <c r="N81" s="5"/>
      <c r="O81" s="5"/>
      <c r="P81" s="5"/>
    </row>
    <row r="82" spans="1:16" s="6" customFormat="1" x14ac:dyDescent="0.25">
      <c r="B82" s="179"/>
      <c r="C82" s="179"/>
      <c r="D82" s="179"/>
      <c r="E82" s="179"/>
      <c r="F82" s="179"/>
      <c r="G82" s="179"/>
      <c r="H82" s="179"/>
      <c r="I82" s="179"/>
      <c r="J82" s="179"/>
      <c r="M82" s="5"/>
      <c r="N82" s="5"/>
      <c r="O82" s="5"/>
      <c r="P82" s="5"/>
    </row>
    <row r="83" spans="1:16" s="6" customFormat="1" x14ac:dyDescent="0.25">
      <c r="B83" s="179"/>
      <c r="C83" s="179"/>
      <c r="D83" s="179"/>
      <c r="E83" s="179"/>
      <c r="F83" s="179"/>
      <c r="G83" s="179"/>
      <c r="H83" s="179"/>
      <c r="I83" s="179"/>
      <c r="J83" s="179"/>
      <c r="M83" s="5"/>
      <c r="N83" s="5"/>
      <c r="O83" s="5"/>
      <c r="P83" s="5"/>
    </row>
    <row r="84" spans="1:16" s="6" customFormat="1" x14ac:dyDescent="0.25">
      <c r="B84" s="179"/>
      <c r="C84" s="179"/>
      <c r="D84" s="179"/>
      <c r="E84" s="179"/>
      <c r="F84" s="179"/>
      <c r="G84" s="179"/>
      <c r="H84" s="179"/>
      <c r="I84" s="179"/>
      <c r="J84" s="179"/>
      <c r="M84" s="5"/>
      <c r="N84" s="5"/>
      <c r="O84" s="5"/>
      <c r="P84" s="5"/>
    </row>
    <row r="85" spans="1:16" s="6" customFormat="1" x14ac:dyDescent="0.25">
      <c r="A85" s="170"/>
      <c r="B85" s="85"/>
      <c r="C85" s="85"/>
      <c r="D85" s="85"/>
      <c r="E85" s="85"/>
      <c r="F85" s="85"/>
      <c r="G85" s="85"/>
      <c r="H85" s="85"/>
      <c r="I85" s="85"/>
      <c r="J85" s="85"/>
      <c r="K85" s="85"/>
      <c r="L85" s="85"/>
      <c r="M85" s="5"/>
      <c r="N85" s="5"/>
      <c r="O85" s="5"/>
      <c r="P85" s="5"/>
    </row>
    <row r="86" spans="1:16" ht="18" x14ac:dyDescent="0.4">
      <c r="A86" s="170"/>
      <c r="B86" s="180"/>
      <c r="C86" s="180"/>
      <c r="D86" s="180"/>
      <c r="E86" s="180"/>
      <c r="F86" s="180"/>
      <c r="G86" s="180"/>
      <c r="H86" s="180"/>
      <c r="I86" s="180"/>
      <c r="J86" s="180"/>
      <c r="K86" s="180"/>
      <c r="L86" s="180"/>
    </row>
    <row r="87" spans="1:16" x14ac:dyDescent="0.25">
      <c r="B87" s="85"/>
      <c r="C87" s="85"/>
      <c r="D87" s="85"/>
      <c r="E87" s="85"/>
      <c r="F87" s="85"/>
      <c r="G87" s="85"/>
      <c r="H87" s="85"/>
      <c r="I87" s="85"/>
      <c r="J87" s="85"/>
      <c r="K87" s="85"/>
      <c r="L87" s="85"/>
    </row>
    <row r="88" spans="1:16" x14ac:dyDescent="0.25">
      <c r="B88" s="164"/>
      <c r="C88" s="164"/>
      <c r="D88" s="164"/>
      <c r="E88" s="164"/>
      <c r="F88" s="164"/>
      <c r="G88" s="164"/>
      <c r="H88" s="164"/>
      <c r="I88" s="164"/>
      <c r="J88" s="164"/>
    </row>
    <row r="89" spans="1:16" x14ac:dyDescent="0.25">
      <c r="A89" s="181"/>
      <c r="B89" s="164"/>
      <c r="C89" s="164"/>
      <c r="D89" s="164"/>
      <c r="E89" s="164"/>
      <c r="F89" s="164"/>
      <c r="G89" s="164"/>
      <c r="H89" s="164"/>
      <c r="I89" s="164"/>
      <c r="J89" s="164"/>
    </row>
    <row r="90" spans="1:16" x14ac:dyDescent="0.25">
      <c r="A90" s="170"/>
      <c r="B90" s="85"/>
      <c r="C90" s="85"/>
      <c r="D90" s="85"/>
      <c r="E90" s="85"/>
      <c r="F90" s="85"/>
      <c r="G90" s="85"/>
      <c r="H90" s="85"/>
      <c r="I90" s="85"/>
      <c r="J90" s="85"/>
      <c r="K90" s="85"/>
      <c r="L90" s="85"/>
    </row>
    <row r="91" spans="1:16" ht="18" x14ac:dyDescent="0.4">
      <c r="A91" s="170"/>
      <c r="B91" s="180"/>
      <c r="C91" s="180"/>
      <c r="D91" s="180"/>
      <c r="E91" s="180"/>
      <c r="F91" s="180"/>
      <c r="G91" s="180"/>
      <c r="H91" s="180"/>
      <c r="I91" s="180"/>
      <c r="J91" s="180"/>
      <c r="K91" s="180"/>
      <c r="L91" s="180"/>
    </row>
    <row r="92" spans="1:16" x14ac:dyDescent="0.25">
      <c r="B92" s="85"/>
      <c r="C92" s="85"/>
      <c r="D92" s="85"/>
      <c r="E92" s="85"/>
      <c r="F92" s="85"/>
      <c r="G92" s="85"/>
      <c r="H92" s="85"/>
      <c r="I92" s="85"/>
      <c r="J92" s="85"/>
      <c r="K92" s="85"/>
      <c r="L92" s="85"/>
    </row>
    <row r="93" spans="1:16" x14ac:dyDescent="0.25">
      <c r="B93" s="164"/>
      <c r="C93" s="164"/>
      <c r="D93" s="164"/>
      <c r="E93" s="164"/>
      <c r="F93" s="164"/>
      <c r="G93" s="164"/>
      <c r="H93" s="164"/>
      <c r="I93" s="164"/>
      <c r="J93" s="164"/>
    </row>
    <row r="94" spans="1:16" x14ac:dyDescent="0.25">
      <c r="B94" s="85"/>
      <c r="C94" s="85"/>
      <c r="D94" s="85"/>
      <c r="E94" s="85"/>
      <c r="F94" s="85"/>
      <c r="G94" s="85"/>
      <c r="H94" s="85"/>
      <c r="I94" s="85"/>
      <c r="J94" s="85"/>
      <c r="K94" s="85"/>
      <c r="L94" s="85"/>
    </row>
    <row r="95" spans="1:16" x14ac:dyDescent="0.25">
      <c r="B95" s="85"/>
      <c r="C95" s="85"/>
      <c r="D95" s="85"/>
      <c r="E95" s="85"/>
      <c r="F95" s="85"/>
      <c r="G95" s="85"/>
      <c r="H95" s="85"/>
      <c r="I95" s="85"/>
      <c r="J95" s="85"/>
      <c r="K95" s="85"/>
      <c r="L95" s="85"/>
    </row>
    <row r="96" spans="1:16" ht="18" x14ac:dyDescent="0.4">
      <c r="B96" s="180"/>
      <c r="C96" s="180"/>
      <c r="D96" s="180"/>
      <c r="E96" s="180"/>
      <c r="F96" s="180"/>
      <c r="G96" s="180"/>
      <c r="H96" s="180"/>
      <c r="I96" s="180"/>
      <c r="J96" s="180"/>
      <c r="K96" s="180"/>
      <c r="L96" s="180"/>
    </row>
    <row r="97" spans="1:12" x14ac:dyDescent="0.25">
      <c r="B97" s="85"/>
      <c r="C97" s="85"/>
      <c r="D97" s="85"/>
      <c r="E97" s="85"/>
      <c r="F97" s="85"/>
      <c r="G97" s="85"/>
      <c r="H97" s="85"/>
      <c r="I97" s="85"/>
      <c r="J97" s="85"/>
      <c r="K97" s="85"/>
      <c r="L97" s="85"/>
    </row>
    <row r="98" spans="1:12" x14ac:dyDescent="0.25">
      <c r="B98" s="164"/>
      <c r="C98" s="164"/>
      <c r="D98" s="164"/>
      <c r="E98" s="164"/>
      <c r="F98" s="164"/>
      <c r="G98" s="164"/>
      <c r="H98" s="164"/>
      <c r="I98" s="164"/>
      <c r="J98" s="164"/>
    </row>
    <row r="99" spans="1:12" x14ac:dyDescent="0.25">
      <c r="B99" s="85"/>
      <c r="C99" s="85"/>
      <c r="D99" s="85"/>
      <c r="E99" s="85"/>
      <c r="F99" s="85"/>
      <c r="G99" s="85"/>
      <c r="H99" s="85"/>
      <c r="I99" s="85"/>
      <c r="J99" s="85"/>
      <c r="K99" s="85"/>
      <c r="L99" s="85"/>
    </row>
    <row r="100" spans="1:12" x14ac:dyDescent="0.25">
      <c r="B100" s="85"/>
      <c r="C100" s="85"/>
      <c r="D100" s="85"/>
      <c r="E100" s="85"/>
      <c r="F100" s="85"/>
      <c r="G100" s="85"/>
      <c r="H100" s="85"/>
      <c r="I100" s="85"/>
      <c r="J100" s="85"/>
      <c r="K100" s="85"/>
      <c r="L100" s="85"/>
    </row>
    <row r="101" spans="1:12" x14ac:dyDescent="0.25">
      <c r="B101" s="169"/>
      <c r="C101" s="169"/>
      <c r="D101" s="169"/>
      <c r="E101" s="169"/>
      <c r="F101" s="169"/>
      <c r="G101" s="169"/>
      <c r="H101" s="169"/>
      <c r="I101" s="169"/>
      <c r="J101" s="169"/>
      <c r="K101" s="169"/>
      <c r="L101" s="169"/>
    </row>
    <row r="102" spans="1:12" ht="18" x14ac:dyDescent="0.4">
      <c r="B102" s="172"/>
      <c r="C102" s="172"/>
      <c r="D102" s="172"/>
      <c r="E102" s="172"/>
      <c r="F102" s="172"/>
      <c r="G102" s="172"/>
      <c r="H102" s="172"/>
      <c r="I102" s="172"/>
      <c r="J102" s="172"/>
      <c r="K102" s="172"/>
      <c r="L102" s="172"/>
    </row>
    <row r="103" spans="1:12" x14ac:dyDescent="0.25">
      <c r="B103" s="85"/>
      <c r="C103" s="85"/>
      <c r="D103" s="85"/>
      <c r="E103" s="85"/>
      <c r="F103" s="85"/>
      <c r="G103" s="85"/>
      <c r="H103" s="85"/>
      <c r="I103" s="85"/>
      <c r="J103" s="85"/>
      <c r="K103" s="85"/>
      <c r="L103" s="85"/>
    </row>
    <row r="104" spans="1:12" x14ac:dyDescent="0.25">
      <c r="B104" s="164"/>
      <c r="C104" s="164"/>
      <c r="D104" s="164"/>
      <c r="E104" s="164"/>
      <c r="F104" s="164"/>
      <c r="G104" s="164"/>
      <c r="H104" s="164"/>
      <c r="I104" s="164"/>
      <c r="J104" s="164"/>
    </row>
    <row r="105" spans="1:12" x14ac:dyDescent="0.25">
      <c r="B105" s="85"/>
      <c r="C105" s="85"/>
      <c r="D105" s="85"/>
      <c r="E105" s="85"/>
      <c r="F105" s="85"/>
      <c r="G105" s="85"/>
      <c r="H105" s="85"/>
      <c r="I105" s="85"/>
      <c r="J105" s="85"/>
      <c r="K105" s="85"/>
      <c r="L105" s="85"/>
    </row>
    <row r="106" spans="1:12" x14ac:dyDescent="0.25">
      <c r="B106" s="164"/>
      <c r="C106" s="164"/>
      <c r="D106" s="164"/>
      <c r="E106" s="164"/>
      <c r="F106" s="164"/>
      <c r="G106" s="164"/>
      <c r="H106" s="164"/>
      <c r="I106" s="164"/>
      <c r="J106" s="164"/>
    </row>
    <row r="107" spans="1:12" x14ac:dyDescent="0.25">
      <c r="B107" s="85"/>
      <c r="C107" s="85"/>
      <c r="D107" s="85"/>
      <c r="E107" s="85"/>
      <c r="F107" s="85"/>
      <c r="G107" s="85"/>
      <c r="H107" s="85"/>
      <c r="I107" s="85"/>
      <c r="J107" s="85"/>
      <c r="K107" s="85"/>
      <c r="L107" s="85"/>
    </row>
    <row r="109" spans="1:12" x14ac:dyDescent="0.25">
      <c r="B109" s="85"/>
      <c r="C109" s="85"/>
      <c r="D109" s="85"/>
      <c r="E109" s="85"/>
      <c r="F109" s="85"/>
      <c r="G109" s="85"/>
      <c r="H109" s="85"/>
      <c r="I109" s="85"/>
      <c r="J109" s="85"/>
      <c r="K109" s="85"/>
      <c r="L109" s="85"/>
    </row>
    <row r="110" spans="1:12" x14ac:dyDescent="0.25">
      <c r="A110" s="170"/>
      <c r="B110" s="85"/>
      <c r="C110" s="85"/>
      <c r="D110" s="85"/>
      <c r="E110" s="85"/>
      <c r="F110" s="85"/>
      <c r="G110" s="85"/>
      <c r="H110" s="85"/>
      <c r="I110" s="85"/>
      <c r="J110" s="85"/>
      <c r="K110" s="85"/>
      <c r="L110" s="85"/>
    </row>
    <row r="111" spans="1:12" ht="18" x14ac:dyDescent="0.4">
      <c r="A111" s="170"/>
      <c r="B111" s="180"/>
      <c r="C111" s="180"/>
      <c r="D111" s="180"/>
      <c r="E111" s="180"/>
      <c r="F111" s="180"/>
      <c r="G111" s="180"/>
      <c r="H111" s="180"/>
      <c r="I111" s="180"/>
      <c r="J111" s="180"/>
      <c r="K111" s="180"/>
      <c r="L111" s="180"/>
    </row>
    <row r="112" spans="1:12" x14ac:dyDescent="0.25">
      <c r="B112" s="85"/>
      <c r="C112" s="85"/>
      <c r="D112" s="85"/>
      <c r="E112" s="85"/>
      <c r="F112" s="85"/>
      <c r="G112" s="85"/>
      <c r="H112" s="85"/>
      <c r="I112" s="85"/>
      <c r="J112" s="85"/>
      <c r="K112" s="85"/>
      <c r="L112" s="85"/>
    </row>
    <row r="114" spans="2:12" x14ac:dyDescent="0.25">
      <c r="B114" s="58"/>
      <c r="C114" s="58"/>
      <c r="D114" s="58"/>
      <c r="E114" s="58"/>
      <c r="F114" s="58"/>
      <c r="G114" s="58"/>
      <c r="H114" s="58"/>
      <c r="I114" s="58"/>
      <c r="J114" s="58"/>
      <c r="K114" s="58"/>
      <c r="L114" s="58"/>
    </row>
    <row r="116" spans="2:12" x14ac:dyDescent="0.25">
      <c r="B116" s="85"/>
      <c r="C116" s="85"/>
      <c r="D116" s="85"/>
      <c r="E116" s="85"/>
      <c r="F116" s="85"/>
      <c r="G116" s="85"/>
      <c r="H116" s="85"/>
      <c r="I116" s="85"/>
      <c r="J116" s="85"/>
      <c r="K116" s="85"/>
      <c r="L116" s="85"/>
    </row>
    <row r="118" spans="2:12" x14ac:dyDescent="0.25">
      <c r="B118" s="85"/>
      <c r="C118" s="85"/>
      <c r="D118" s="85"/>
      <c r="E118" s="85"/>
      <c r="F118" s="85"/>
      <c r="G118" s="85"/>
      <c r="H118" s="85"/>
      <c r="I118" s="85"/>
      <c r="J118" s="85"/>
      <c r="K118" s="85"/>
      <c r="L118" s="85"/>
    </row>
    <row r="120" spans="2:12" x14ac:dyDescent="0.25">
      <c r="B120" s="85"/>
      <c r="C120" s="85"/>
      <c r="D120" s="85"/>
      <c r="E120" s="85"/>
      <c r="F120" s="85"/>
      <c r="G120" s="85"/>
      <c r="H120" s="85"/>
      <c r="I120" s="85"/>
      <c r="J120" s="85"/>
      <c r="K120" s="85"/>
      <c r="L120" s="85"/>
    </row>
    <row r="122" spans="2:12" ht="18" x14ac:dyDescent="0.4">
      <c r="B122" s="182"/>
      <c r="C122" s="182"/>
      <c r="D122" s="182"/>
      <c r="E122" s="182"/>
      <c r="F122" s="182"/>
      <c r="G122" s="182"/>
      <c r="H122" s="182"/>
      <c r="I122" s="182"/>
      <c r="J122" s="182"/>
      <c r="K122" s="182"/>
      <c r="L122" s="182"/>
    </row>
    <row r="127" spans="2:12" x14ac:dyDescent="0.25">
      <c r="B127" s="58"/>
      <c r="C127" s="58"/>
      <c r="D127" s="58"/>
      <c r="E127" s="58"/>
      <c r="F127" s="58"/>
      <c r="G127" s="58"/>
      <c r="H127" s="58"/>
      <c r="I127" s="58"/>
      <c r="J127" s="58"/>
      <c r="K127" s="58"/>
      <c r="L127" s="58"/>
    </row>
    <row r="128" spans="2:12" x14ac:dyDescent="0.25">
      <c r="B128" s="58"/>
      <c r="C128" s="58"/>
      <c r="D128" s="58"/>
      <c r="E128" s="58"/>
      <c r="F128" s="58"/>
      <c r="G128" s="58"/>
      <c r="H128" s="58"/>
      <c r="I128" s="58"/>
      <c r="J128" s="58"/>
      <c r="K128" s="58"/>
      <c r="L128" s="58"/>
    </row>
  </sheetData>
  <mergeCells count="5">
    <mergeCell ref="A1:K1"/>
    <mergeCell ref="A2:K2"/>
    <mergeCell ref="A3:K3"/>
    <mergeCell ref="A4:K4"/>
    <mergeCell ref="A5:K5"/>
  </mergeCells>
  <printOptions horizontalCentered="1"/>
  <pageMargins left="0.75" right="0.75" top="1.75" bottom="0.5" header="0.75" footer="0.25"/>
  <pageSetup scale="45" orientation="landscape" r:id="rId1"/>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6" tint="0.39997558519241921"/>
    <pageSetUpPr fitToPage="1"/>
  </sheetPr>
  <dimension ref="A1:P55"/>
  <sheetViews>
    <sheetView view="pageBreakPreview" zoomScale="60" zoomScaleNormal="100" workbookViewId="0">
      <selection sqref="A1:H1"/>
    </sheetView>
  </sheetViews>
  <sheetFormatPr defaultColWidth="9.140625" defaultRowHeight="15.75" x14ac:dyDescent="0.25"/>
  <cols>
    <col min="1" max="1" width="68.140625" style="5" bestFit="1" customWidth="1"/>
    <col min="2" max="2" width="18.42578125" style="5" bestFit="1" customWidth="1"/>
    <col min="3" max="3" width="18.42578125" style="5" customWidth="1"/>
    <col min="4" max="4" width="16.42578125" style="5" customWidth="1"/>
    <col min="5" max="5" width="16.85546875" style="5" customWidth="1"/>
    <col min="6" max="6" width="18.42578125" style="5" bestFit="1" customWidth="1"/>
    <col min="7" max="9" width="17.7109375" style="5" customWidth="1"/>
    <col min="10" max="10" width="17.42578125" style="5" bestFit="1" customWidth="1"/>
    <col min="11" max="11" width="9.42578125" style="5" bestFit="1" customWidth="1"/>
    <col min="12" max="12" width="9.28515625" style="5" bestFit="1" customWidth="1"/>
    <col min="13" max="13" width="20.5703125" style="5" customWidth="1"/>
    <col min="14" max="14" width="9.140625" style="5"/>
    <col min="15" max="15" width="17.85546875" style="5" customWidth="1"/>
    <col min="16" max="16" width="9.28515625" style="5" bestFit="1" customWidth="1"/>
    <col min="17" max="17" width="9.140625" style="5"/>
    <col min="18" max="18" width="15.85546875" style="5" customWidth="1"/>
    <col min="19" max="19" width="9.28515625" style="5" bestFit="1" customWidth="1"/>
    <col min="20" max="20" width="17.5703125" style="5" bestFit="1" customWidth="1"/>
    <col min="21" max="21" width="15.42578125" style="5" bestFit="1" customWidth="1"/>
    <col min="22" max="22" width="12.7109375" style="5" bestFit="1" customWidth="1"/>
    <col min="23" max="16384" width="9.140625" style="5"/>
  </cols>
  <sheetData>
    <row r="1" spans="1:15" x14ac:dyDescent="0.25">
      <c r="A1" s="233" t="str">
        <f>Index!A5</f>
        <v>LOUISVILLE GAS AND ELECTRIC COMPANY</v>
      </c>
      <c r="B1" s="237"/>
      <c r="C1" s="237"/>
      <c r="D1" s="237"/>
      <c r="E1" s="237"/>
      <c r="F1" s="237"/>
      <c r="G1" s="237"/>
      <c r="H1" s="237"/>
    </row>
    <row r="2" spans="1:15" x14ac:dyDescent="0.25">
      <c r="A2" s="237" t="str">
        <f>Index!A7</f>
        <v>CASE NO. 2018-00295</v>
      </c>
      <c r="B2" s="237"/>
      <c r="C2" s="237"/>
      <c r="D2" s="237"/>
      <c r="E2" s="237"/>
      <c r="F2" s="237"/>
      <c r="G2" s="237"/>
      <c r="H2" s="237"/>
    </row>
    <row r="3" spans="1:15" x14ac:dyDescent="0.25">
      <c r="A3" s="237" t="str">
        <f>Index!C21</f>
        <v>Summary of Proposed Gas Revenue Increase</v>
      </c>
      <c r="B3" s="237"/>
      <c r="C3" s="237"/>
      <c r="D3" s="237"/>
      <c r="E3" s="237"/>
      <c r="F3" s="237"/>
      <c r="G3" s="237"/>
      <c r="H3" s="237"/>
    </row>
    <row r="4" spans="1:15" x14ac:dyDescent="0.25">
      <c r="A4" s="237" t="str">
        <f>Index!D13</f>
        <v>For the 12 Months Ended April 30, 2020</v>
      </c>
      <c r="B4" s="237"/>
      <c r="C4" s="237"/>
      <c r="D4" s="237"/>
      <c r="E4" s="237"/>
      <c r="F4" s="237"/>
      <c r="G4" s="237"/>
      <c r="H4" s="237"/>
    </row>
    <row r="5" spans="1:15" x14ac:dyDescent="0.25">
      <c r="A5" s="239" t="str">
        <f>'Stipulation Sch M-2.1-G'!A5:F5</f>
        <v>Gas Operations</v>
      </c>
      <c r="B5" s="239"/>
      <c r="C5" s="239"/>
      <c r="D5" s="239"/>
      <c r="E5" s="239"/>
      <c r="F5" s="239"/>
      <c r="G5" s="239"/>
      <c r="H5" s="239"/>
    </row>
    <row r="7" spans="1:15" x14ac:dyDescent="0.25">
      <c r="A7" s="14" t="str">
        <f>'Stipulation Sch M-2.1-G'!A10</f>
        <v>DATA:  ____ BASE PERIOD  __X__  FORECAST PERIOD</v>
      </c>
      <c r="B7" s="122"/>
      <c r="C7" s="122"/>
      <c r="D7" s="122"/>
      <c r="E7" s="122"/>
      <c r="G7" s="123"/>
      <c r="H7" s="123" t="str">
        <f>"Schedule "&amp;Index!A21</f>
        <v>Schedule M-2.3-G</v>
      </c>
      <c r="I7" s="122"/>
      <c r="J7" s="124"/>
      <c r="K7" s="125"/>
      <c r="L7" s="125"/>
      <c r="M7" s="125"/>
      <c r="N7" s="125"/>
      <c r="O7" s="125"/>
    </row>
    <row r="8" spans="1:15" x14ac:dyDescent="0.25">
      <c r="A8" s="18" t="str">
        <f>'Stipulation Sch M-2.1-G'!A11</f>
        <v>TYPE OF FILING: __X__ ORIGINAL  _____ UPDATED  _____ REVISED</v>
      </c>
      <c r="B8" s="122"/>
      <c r="C8" s="122"/>
      <c r="D8" s="122"/>
      <c r="E8" s="122"/>
      <c r="G8" s="123"/>
      <c r="H8" s="126">
        <f>'Stipulation Sch M-2.1-G'!F11</f>
        <v>0</v>
      </c>
      <c r="I8" s="122"/>
      <c r="J8" s="124"/>
    </row>
    <row r="9" spans="1:15" x14ac:dyDescent="0.25">
      <c r="A9" s="18" t="str">
        <f>'Stipulation Sch M-2.1-G'!A12</f>
        <v>WORK PAPER REFERENCE NO(S):</v>
      </c>
      <c r="B9" s="122"/>
      <c r="C9" s="122"/>
      <c r="D9" s="122"/>
      <c r="E9" s="122"/>
      <c r="G9" s="126"/>
      <c r="H9" s="126" t="s">
        <v>164</v>
      </c>
      <c r="I9" s="122"/>
      <c r="J9" s="124"/>
    </row>
    <row r="10" spans="1:15" x14ac:dyDescent="0.25">
      <c r="A10" s="124"/>
      <c r="B10" s="124"/>
      <c r="C10" s="124"/>
      <c r="D10" s="124"/>
      <c r="E10" s="124"/>
      <c r="F10" s="124"/>
      <c r="G10" s="124"/>
      <c r="H10" s="124"/>
      <c r="I10" s="124"/>
      <c r="J10" s="124"/>
    </row>
    <row r="11" spans="1:15" x14ac:dyDescent="0.25">
      <c r="A11" s="127"/>
      <c r="B11" s="128"/>
      <c r="C11" s="128"/>
      <c r="D11" s="128"/>
      <c r="E11" s="128"/>
      <c r="F11" s="128" t="s">
        <v>10</v>
      </c>
      <c r="G11" s="128"/>
      <c r="H11" s="128"/>
      <c r="I11" s="124"/>
      <c r="J11" s="124"/>
    </row>
    <row r="12" spans="1:15" x14ac:dyDescent="0.25">
      <c r="A12" s="127"/>
      <c r="B12" s="128" t="s">
        <v>24</v>
      </c>
      <c r="C12" s="128" t="s">
        <v>8</v>
      </c>
      <c r="D12" s="128" t="s">
        <v>9</v>
      </c>
      <c r="E12" s="128" t="s">
        <v>42</v>
      </c>
      <c r="F12" s="128" t="s">
        <v>30</v>
      </c>
      <c r="G12" s="128"/>
      <c r="H12" s="128" t="s">
        <v>78</v>
      </c>
    </row>
    <row r="13" spans="1:15" ht="16.5" thickBot="1" x14ac:dyDescent="0.3">
      <c r="A13" s="129" t="s">
        <v>7</v>
      </c>
      <c r="B13" s="130" t="s">
        <v>6</v>
      </c>
      <c r="C13" s="130" t="s">
        <v>6</v>
      </c>
      <c r="D13" s="130" t="s">
        <v>6</v>
      </c>
      <c r="E13" s="130" t="s">
        <v>6</v>
      </c>
      <c r="F13" s="130" t="s">
        <v>6</v>
      </c>
      <c r="G13" s="130" t="s">
        <v>27</v>
      </c>
      <c r="H13" s="130" t="s">
        <v>31</v>
      </c>
      <c r="J13" s="1"/>
      <c r="K13" s="1"/>
      <c r="L13" s="1"/>
    </row>
    <row r="14" spans="1:15" x14ac:dyDescent="0.25">
      <c r="B14" s="131"/>
      <c r="C14" s="131"/>
      <c r="D14" s="131"/>
      <c r="E14" s="131"/>
      <c r="F14" s="131"/>
      <c r="G14" s="131"/>
      <c r="H14" s="131"/>
      <c r="J14" s="1"/>
      <c r="K14" s="1"/>
      <c r="L14" s="1"/>
    </row>
    <row r="15" spans="1:15" x14ac:dyDescent="0.25">
      <c r="A15" s="5" t="s">
        <v>154</v>
      </c>
      <c r="B15" s="202">
        <f>'Stipulation Sch M-2.3 Pg. 2-11'!I25</f>
        <v>128880299.93645123</v>
      </c>
      <c r="C15" s="202">
        <f>'Stipulation Sch M-2.3 Pg. 2-11'!I27</f>
        <v>78109569.334308967</v>
      </c>
      <c r="D15" s="202">
        <f>'Stipulation Sch M-2.3 Pg. 2-11'!I28</f>
        <v>1435561.3472547519</v>
      </c>
      <c r="E15" s="202">
        <f>'Stipulation Sch M-2.3 Pg. 2-11'!I29</f>
        <v>9542287.5096951965</v>
      </c>
      <c r="F15" s="202">
        <f>SUM(B15:E15)</f>
        <v>217967718.12771013</v>
      </c>
      <c r="G15" s="133">
        <f>'Stipulation Sch M-2.3 Pg. 2-11'!L33</f>
        <v>13741600.408023894</v>
      </c>
      <c r="H15" s="134">
        <f>'Stipulation Sch M-2.3 Pg. 2-11'!L34</f>
        <v>6.3044199967136921E-2</v>
      </c>
      <c r="J15" s="1"/>
      <c r="K15" s="1"/>
      <c r="L15" s="1"/>
    </row>
    <row r="16" spans="1:15" x14ac:dyDescent="0.25">
      <c r="B16" s="54"/>
      <c r="C16" s="54"/>
      <c r="D16" s="54"/>
      <c r="E16" s="54"/>
      <c r="F16" s="54"/>
      <c r="G16" s="133"/>
      <c r="H16" s="135"/>
      <c r="J16" s="1"/>
      <c r="K16" s="1"/>
      <c r="L16" s="1"/>
    </row>
    <row r="17" spans="1:12" x14ac:dyDescent="0.25">
      <c r="A17" s="5" t="s">
        <v>155</v>
      </c>
      <c r="B17" s="136">
        <f>'Stipulation Sch M-2.3 Pg. 2-11'!I50+'Stipulation Sch M-2.3 Pg. 2-11'!I66+'Stipulation Sch M-2.3 Pg. 2-11'!I73</f>
        <v>45966505.541628823</v>
      </c>
      <c r="C17" s="136">
        <f>'Stipulation Sch M-2.3 Pg. 2-11'!I68</f>
        <v>39681903.355606258</v>
      </c>
      <c r="D17" s="136">
        <f>'Stipulation Sch M-2.3 Pg. 2-11'!I69</f>
        <v>824766.32893977349</v>
      </c>
      <c r="E17" s="136">
        <f>'Stipulation Sch M-2.3 Pg. 2-11'!I70</f>
        <v>4021065.4253083072</v>
      </c>
      <c r="F17" s="202">
        <f>SUM(B17:E17)</f>
        <v>90494240.651483163</v>
      </c>
      <c r="G17" s="133">
        <f>'Stipulation Sch M-2.3 Pg. 2-11'!L77</f>
        <v>5703702.8875270337</v>
      </c>
      <c r="H17" s="135">
        <f>'Stipulation Sch M-2.3 Pg. 2-11'!L78</f>
        <v>6.3028352373202132E-2</v>
      </c>
      <c r="J17" s="1"/>
      <c r="K17" s="1"/>
      <c r="L17" s="1"/>
    </row>
    <row r="18" spans="1:12" x14ac:dyDescent="0.25">
      <c r="B18" s="136"/>
      <c r="C18" s="136"/>
      <c r="D18" s="136"/>
      <c r="E18" s="136"/>
      <c r="F18" s="136"/>
      <c r="G18" s="133"/>
      <c r="H18" s="135"/>
      <c r="J18" s="1"/>
      <c r="K18" s="1"/>
      <c r="L18" s="1"/>
    </row>
    <row r="19" spans="1:12" x14ac:dyDescent="0.25">
      <c r="A19" s="5" t="s">
        <v>156</v>
      </c>
      <c r="B19" s="136">
        <f>'Stipulation Sch M-2.3 Pg. 2-11'!I93+'Stipulation Sch M-2.3 Pg. 2-11'!I107+'Stipulation Sch M-2.3 Pg. 2-11'!I114</f>
        <v>5085634.5715944665</v>
      </c>
      <c r="C19" s="136">
        <f>'Stipulation Sch M-2.3 Pg. 2-11'!I109</f>
        <v>5367345.912275007</v>
      </c>
      <c r="D19" s="136">
        <f>'Stipulation Sch M-2.3 Pg. 2-11'!I110</f>
        <v>0</v>
      </c>
      <c r="E19" s="136">
        <f>'Stipulation Sch M-2.3 Pg. 2-11'!I111</f>
        <v>514378.39326577989</v>
      </c>
      <c r="F19" s="202">
        <f>SUM(B19:E19)</f>
        <v>10967358.877135254</v>
      </c>
      <c r="G19" s="133">
        <f>'Stipulation Sch M-2.3 Pg. 2-11'!L118</f>
        <v>-74.137500001117587</v>
      </c>
      <c r="H19" s="135">
        <f>'Stipulation Sch M-2.3 Pg. 2-11'!L119</f>
        <v>-6.7598316815983306E-6</v>
      </c>
      <c r="J19" s="1"/>
      <c r="K19" s="1"/>
      <c r="L19" s="1"/>
    </row>
    <row r="20" spans="1:12" x14ac:dyDescent="0.25">
      <c r="B20" s="136"/>
      <c r="C20" s="136"/>
      <c r="D20" s="136"/>
      <c r="E20" s="136"/>
      <c r="F20" s="136"/>
      <c r="G20" s="133"/>
      <c r="H20" s="135"/>
      <c r="J20" s="1"/>
      <c r="K20" s="1"/>
      <c r="L20" s="1"/>
    </row>
    <row r="21" spans="1:12" x14ac:dyDescent="0.25">
      <c r="A21" s="5" t="s">
        <v>157</v>
      </c>
      <c r="B21" s="136">
        <f>'Stipulation Sch M-2.3 Pg. 2-11'!I129+'Stipulation Sch M-2.3 Pg. 2-11'!I138+'Stipulation Sch M-2.3 Pg. 2-11'!I145</f>
        <v>266405.70029143896</v>
      </c>
      <c r="C21" s="136">
        <f>'Stipulation Sch M-2.3 Pg. 2-11'!I140</f>
        <v>517528.54390253476</v>
      </c>
      <c r="D21" s="136">
        <f>'Stipulation Sch M-2.3 Pg. 2-11'!I141</f>
        <v>8718.2144299590746</v>
      </c>
      <c r="E21" s="136">
        <f>'Stipulation Sch M-2.3 Pg. 2-11'!I142</f>
        <v>40082.111565497587</v>
      </c>
      <c r="F21" s="202">
        <f>SUM(B21:E21)</f>
        <v>832734.57018943038</v>
      </c>
      <c r="G21" s="136">
        <f>'Stipulation Sch M-2.3 Pg. 2-11'!L149</f>
        <v>0</v>
      </c>
      <c r="H21" s="137">
        <f>'Stipulation Sch M-2.3 Pg. 2-11'!L150</f>
        <v>0</v>
      </c>
      <c r="J21" s="1"/>
      <c r="K21" s="1"/>
      <c r="L21" s="1"/>
    </row>
    <row r="22" spans="1:12" x14ac:dyDescent="0.25">
      <c r="B22" s="136"/>
      <c r="C22" s="136"/>
      <c r="D22" s="136"/>
      <c r="E22" s="136"/>
      <c r="F22" s="136"/>
      <c r="G22" s="133"/>
      <c r="H22" s="135"/>
      <c r="J22" s="1"/>
      <c r="K22" s="1"/>
      <c r="L22" s="1"/>
    </row>
    <row r="23" spans="1:12" x14ac:dyDescent="0.25">
      <c r="A23" s="5" t="s">
        <v>158</v>
      </c>
      <c r="B23" s="136">
        <f>'Stipulation Sch M-2.3 Pg. 2-11'!I162+'Stipulation Sch M-2.3 Pg. 2-11'!I169</f>
        <v>6471826.6771343425</v>
      </c>
      <c r="C23" s="136">
        <f>'Stipulation Sch M-2.3 Pg. 2-11'!I164</f>
        <v>0</v>
      </c>
      <c r="D23" s="136">
        <f>'Stipulation Sch M-2.3 Pg. 2-11'!I165</f>
        <v>0</v>
      </c>
      <c r="E23" s="136">
        <f>'Stipulation Sch M-2.3 Pg. 2-11'!I166</f>
        <v>80951.092134637074</v>
      </c>
      <c r="F23" s="202">
        <f>SUM(B23:E23)</f>
        <v>6552777.7692689793</v>
      </c>
      <c r="G23" s="136">
        <f>'Stipulation Sch M-2.3 Pg. 2-11'!L172</f>
        <v>-85.025622844696045</v>
      </c>
      <c r="H23" s="137">
        <f>'Stipulation Sch M-2.3 Pg. 2-11'!L173</f>
        <v>-1.2975508378057113E-5</v>
      </c>
      <c r="J23" s="1"/>
      <c r="K23" s="1"/>
      <c r="L23" s="1"/>
    </row>
    <row r="24" spans="1:12" x14ac:dyDescent="0.25">
      <c r="B24" s="136"/>
      <c r="C24" s="136"/>
      <c r="D24" s="136"/>
      <c r="E24" s="136"/>
      <c r="F24" s="136"/>
      <c r="G24" s="133"/>
      <c r="H24" s="135"/>
      <c r="J24" s="1"/>
      <c r="K24" s="1"/>
      <c r="L24" s="1"/>
    </row>
    <row r="25" spans="1:12" x14ac:dyDescent="0.25">
      <c r="A25" s="5" t="s">
        <v>28</v>
      </c>
      <c r="B25" s="136">
        <f>'Stipulation Sch M-2.3 Pg. 2-11'!I185</f>
        <v>2295607.4156800001</v>
      </c>
      <c r="C25" s="136">
        <f>'Stipulation Sch M-2.3 Pg. 2-11'!I187</f>
        <v>1470692.3614855495</v>
      </c>
      <c r="D25" s="136">
        <f>'Stipulation Sch M-2.3 Pg. 2-11'!I188</f>
        <v>0</v>
      </c>
      <c r="E25" s="136">
        <f>'Stipulation Sch M-2.3 Pg. 2-11'!I189</f>
        <v>0</v>
      </c>
      <c r="F25" s="202">
        <f>SUM(B25:E25)</f>
        <v>3766299.7771655498</v>
      </c>
      <c r="G25" s="136">
        <f>'Stipulation Sch M-2.3 Pg. 2-11'!L193</f>
        <v>0</v>
      </c>
      <c r="H25" s="134">
        <f>'Stipulation Sch M-2.3 Pg. 2-11'!L194</f>
        <v>0</v>
      </c>
      <c r="J25" s="1"/>
      <c r="K25" s="1"/>
      <c r="L25" s="1"/>
    </row>
    <row r="26" spans="1:12" x14ac:dyDescent="0.25">
      <c r="B26" s="136"/>
      <c r="C26" s="136"/>
      <c r="D26" s="136"/>
      <c r="E26" s="136"/>
      <c r="F26" s="136"/>
      <c r="G26" s="136"/>
      <c r="H26" s="137"/>
      <c r="J26" s="1"/>
      <c r="K26" s="1"/>
      <c r="L26" s="1"/>
    </row>
    <row r="27" spans="1:12" x14ac:dyDescent="0.25">
      <c r="A27" s="5" t="s">
        <v>159</v>
      </c>
      <c r="B27" s="136">
        <f>'Stipulation Sch M-2.3 Pg. 2-11'!I206+'Stipulation Sch M-2.3 Pg. 2-11'!I217+'Stipulation Sch M-2.3 Pg. 2-11'!I224</f>
        <v>15658.309999999998</v>
      </c>
      <c r="C27" s="136">
        <f>'Stipulation Sch M-2.3 Pg. 2-11'!I219</f>
        <v>29.948234424056107</v>
      </c>
      <c r="D27" s="136">
        <f>'Stipulation Sch M-2.3 Pg. 2-11'!I220</f>
        <v>0</v>
      </c>
      <c r="E27" s="136">
        <f>'Stipulation Sch M-2.3 Pg. 2-11'!I221</f>
        <v>835.5833203558268</v>
      </c>
      <c r="F27" s="202">
        <f>SUM(B27:E27)</f>
        <v>16523.84155477988</v>
      </c>
      <c r="G27" s="136">
        <f>ROUND('Stipulation Sch M-2.3 Pg. 2-11'!L228,0)</f>
        <v>0</v>
      </c>
      <c r="H27" s="137">
        <f>'Stipulation Sch M-2.3 Pg. 2-11'!L229</f>
        <v>2.7879739148581555E-8</v>
      </c>
      <c r="J27" s="1"/>
      <c r="K27" s="1"/>
      <c r="L27" s="1"/>
    </row>
    <row r="28" spans="1:12" x14ac:dyDescent="0.25">
      <c r="B28" s="136"/>
      <c r="C28" s="136"/>
      <c r="D28" s="136"/>
      <c r="E28" s="136"/>
      <c r="F28" s="136"/>
      <c r="G28" s="136"/>
      <c r="H28" s="137"/>
      <c r="J28" s="1"/>
      <c r="K28" s="1"/>
      <c r="L28" s="1"/>
    </row>
    <row r="29" spans="1:12" x14ac:dyDescent="0.25">
      <c r="A29" s="5" t="s">
        <v>151</v>
      </c>
      <c r="B29" s="136">
        <f>'Stipulation Sch M-2.3 Pg. 2-11'!I240</f>
        <v>34835.711977794148</v>
      </c>
      <c r="C29" s="136">
        <f>'Stipulation Sch M-2.3 Pg. 2-11'!I242</f>
        <v>6210.1068295250452</v>
      </c>
      <c r="D29" s="136">
        <f>'Stipulation Sch M-2.3 Pg. 2-11'!I243</f>
        <v>74.720687149941099</v>
      </c>
      <c r="E29" s="136">
        <f>'Stipulation Sch M-2.3 Pg. 2-11'!I244</f>
        <v>2345.8732430380942</v>
      </c>
      <c r="F29" s="202">
        <f>SUM(B29:E29)</f>
        <v>43466.412737507228</v>
      </c>
      <c r="G29" s="133">
        <f>'Stipulation Sch M-2.3 Pg. 2-11'!L248</f>
        <v>2760.9293599814991</v>
      </c>
      <c r="H29" s="134">
        <f>'Stipulation Sch M-2.3 Pg. 2-11'!L249</f>
        <v>6.3518684568121472E-2</v>
      </c>
      <c r="J29" s="1"/>
      <c r="K29" s="1"/>
      <c r="L29" s="1"/>
    </row>
    <row r="30" spans="1:12" x14ac:dyDescent="0.25">
      <c r="B30" s="136"/>
      <c r="C30" s="136"/>
      <c r="D30" s="136"/>
      <c r="E30" s="136"/>
      <c r="F30" s="202"/>
      <c r="G30" s="133"/>
      <c r="H30" s="134"/>
      <c r="J30" s="1"/>
      <c r="K30" s="1"/>
      <c r="L30" s="1"/>
    </row>
    <row r="31" spans="1:12" x14ac:dyDescent="0.25">
      <c r="A31" s="5" t="s">
        <v>152</v>
      </c>
      <c r="B31" s="136">
        <f>'Stipulation Sch M-2.3 Pg. 2-11'!I260</f>
        <v>0</v>
      </c>
      <c r="C31" s="136">
        <f>'Stipulation Sch M-2.3 Pg. 2-11'!I262</f>
        <v>0</v>
      </c>
      <c r="D31" s="136">
        <f>'Stipulation Sch M-2.3 Pg. 2-11'!I263</f>
        <v>0</v>
      </c>
      <c r="E31" s="136">
        <f>'Stipulation Sch M-2.3 Pg. 2-11'!I264</f>
        <v>0</v>
      </c>
      <c r="F31" s="202">
        <f>SUM(B31:E31)</f>
        <v>0</v>
      </c>
      <c r="G31" s="133">
        <f>'Stipulation Sch M-2.3 Pg. 2-11'!L268</f>
        <v>0</v>
      </c>
      <c r="H31" s="134">
        <f>'Stipulation Sch M-2.3 Pg. 2-11'!L269</f>
        <v>0</v>
      </c>
      <c r="J31" s="1"/>
      <c r="K31" s="1"/>
      <c r="L31" s="1"/>
    </row>
    <row r="32" spans="1:12" x14ac:dyDescent="0.25">
      <c r="B32" s="136"/>
      <c r="C32" s="136"/>
      <c r="D32" s="136"/>
      <c r="E32" s="136"/>
      <c r="F32" s="202"/>
      <c r="G32" s="133"/>
      <c r="H32" s="134"/>
      <c r="J32" s="1"/>
      <c r="K32" s="1"/>
      <c r="L32" s="1"/>
    </row>
    <row r="33" spans="1:12" x14ac:dyDescent="0.25">
      <c r="A33" s="5" t="s">
        <v>153</v>
      </c>
      <c r="B33" s="133">
        <f>'Stipulation Sch M-2.3 Pg. 2-11'!I281</f>
        <v>0</v>
      </c>
      <c r="C33" s="133">
        <f>'Stipulation Sch M-2.3 Pg. 2-11'!I283</f>
        <v>0</v>
      </c>
      <c r="D33" s="133">
        <f>'Stipulation Sch M-2.3 Pg. 2-11'!I284</f>
        <v>0</v>
      </c>
      <c r="E33" s="133">
        <f>'Stipulation Sch M-2.3 Pg. 2-11'!I285</f>
        <v>0</v>
      </c>
      <c r="F33" s="132">
        <f>SUM(B33:E33)</f>
        <v>0</v>
      </c>
      <c r="G33" s="133">
        <f>'Stipulation Sch M-2.3 Pg. 2-11'!L289</f>
        <v>0</v>
      </c>
      <c r="H33" s="134">
        <f>'Stipulation Sch M-2.3 Pg. 2-11'!L290</f>
        <v>0</v>
      </c>
      <c r="J33" s="1"/>
      <c r="K33" s="1"/>
      <c r="L33" s="1"/>
    </row>
    <row r="34" spans="1:12" x14ac:dyDescent="0.25">
      <c r="B34" s="131"/>
      <c r="C34" s="131"/>
      <c r="D34" s="131"/>
      <c r="E34" s="131"/>
      <c r="F34" s="54"/>
      <c r="G34" s="131"/>
      <c r="H34" s="131"/>
    </row>
    <row r="35" spans="1:12" x14ac:dyDescent="0.25">
      <c r="A35" s="5" t="s">
        <v>34</v>
      </c>
      <c r="B35" s="138">
        <f t="shared" ref="B35:D35" si="0">SUM(B14:B34)</f>
        <v>189016773.86475804</v>
      </c>
      <c r="C35" s="138">
        <f t="shared" si="0"/>
        <v>125153279.56264226</v>
      </c>
      <c r="D35" s="138">
        <f t="shared" si="0"/>
        <v>2269120.6113116345</v>
      </c>
      <c r="E35" s="138">
        <f>SUM(E14:E34)</f>
        <v>14201945.988532811</v>
      </c>
      <c r="F35" s="138">
        <f t="shared" ref="F35:G35" si="1">SUM(F14:F34)</f>
        <v>330641120.02724475</v>
      </c>
      <c r="G35" s="138">
        <f t="shared" si="1"/>
        <v>19447905.06178806</v>
      </c>
      <c r="H35" s="139">
        <f>G35/F35</f>
        <v>5.8818773237235458E-2</v>
      </c>
    </row>
    <row r="36" spans="1:12" x14ac:dyDescent="0.25">
      <c r="B36" s="131"/>
      <c r="C36" s="131"/>
      <c r="D36" s="131"/>
      <c r="E36" s="131"/>
      <c r="F36" s="54"/>
      <c r="G36" s="140"/>
      <c r="H36" s="137"/>
    </row>
    <row r="37" spans="1:12" x14ac:dyDescent="0.25">
      <c r="A37" s="203" t="str">
        <f>'Stipulation Sch M-2.1-G'!A39</f>
        <v>Late Payment Charges</v>
      </c>
      <c r="B37" s="141">
        <f>'Stipulation Sch M-2.1-G'!B39</f>
        <v>1065948.9200000004</v>
      </c>
      <c r="C37" s="54"/>
      <c r="D37" s="54"/>
      <c r="E37" s="54"/>
      <c r="F37" s="136">
        <f>B37</f>
        <v>1065948.9200000004</v>
      </c>
      <c r="G37" s="140">
        <f>'Stipulation Sch M-2.1-G'!D39</f>
        <v>-97753.410000000033</v>
      </c>
      <c r="H37" s="137"/>
    </row>
    <row r="38" spans="1:12" x14ac:dyDescent="0.25">
      <c r="A38" s="197" t="str">
        <f>'Stipulation Sch M-2.1-G'!A40</f>
        <v>Miscellaneous Service Revenue</v>
      </c>
      <c r="B38" s="141">
        <f>'Stipulation Sch M-2.1-G'!B40</f>
        <v>90991.793333333335</v>
      </c>
      <c r="C38" s="54"/>
      <c r="D38" s="54"/>
      <c r="E38" s="54"/>
      <c r="F38" s="136">
        <f t="shared" ref="F38:F40" si="2">B38</f>
        <v>90991.793333333335</v>
      </c>
      <c r="G38" s="140">
        <f>'Stipulation Sch M-2.1-G'!D40</f>
        <v>-20144</v>
      </c>
      <c r="H38" s="137"/>
    </row>
    <row r="39" spans="1:12" x14ac:dyDescent="0.25">
      <c r="A39" s="197" t="str">
        <f>'Stipulation Sch M-2.1-G'!A41</f>
        <v>Rent from Gas Property</v>
      </c>
      <c r="B39" s="141">
        <f>'Stipulation Sch M-2.1-G'!B41</f>
        <v>374342.39</v>
      </c>
      <c r="C39" s="54"/>
      <c r="D39" s="54"/>
      <c r="E39" s="54"/>
      <c r="F39" s="136">
        <f t="shared" si="2"/>
        <v>374342.39</v>
      </c>
      <c r="G39" s="140">
        <f>'Stipulation Sch M-2.1-G'!D41</f>
        <v>0</v>
      </c>
      <c r="H39" s="137"/>
    </row>
    <row r="40" spans="1:12" x14ac:dyDescent="0.25">
      <c r="A40" s="197" t="str">
        <f>'Stipulation Sch M-2.1-G'!A42</f>
        <v>Other Gas Revenue</v>
      </c>
      <c r="B40" s="141">
        <f>'Stipulation Sch M-2.1-G'!B42</f>
        <v>325.85000000000042</v>
      </c>
      <c r="C40" s="54"/>
      <c r="D40" s="54"/>
      <c r="E40" s="54"/>
      <c r="F40" s="136">
        <f t="shared" si="2"/>
        <v>325.85000000000042</v>
      </c>
      <c r="G40" s="140">
        <f>'Stipulation Sch M-2.1-G'!D42</f>
        <v>0</v>
      </c>
      <c r="H40" s="137"/>
    </row>
    <row r="41" spans="1:12" x14ac:dyDescent="0.25">
      <c r="A41" s="6"/>
      <c r="B41" s="54"/>
      <c r="C41" s="54"/>
      <c r="D41" s="54"/>
      <c r="E41" s="54"/>
      <c r="F41" s="54"/>
      <c r="G41" s="54"/>
      <c r="H41" s="54"/>
    </row>
    <row r="42" spans="1:12" x14ac:dyDescent="0.25">
      <c r="A42" s="6" t="s">
        <v>29</v>
      </c>
      <c r="B42" s="138">
        <f t="shared" ref="B42:G42" si="3">+B35+SUM(B37:B40)</f>
        <v>190548382.81809139</v>
      </c>
      <c r="C42" s="138">
        <f t="shared" si="3"/>
        <v>125153279.56264226</v>
      </c>
      <c r="D42" s="138">
        <f t="shared" si="3"/>
        <v>2269120.6113116345</v>
      </c>
      <c r="E42" s="138">
        <f t="shared" si="3"/>
        <v>14201945.988532811</v>
      </c>
      <c r="F42" s="138">
        <f t="shared" si="3"/>
        <v>332172728.98057806</v>
      </c>
      <c r="G42" s="138">
        <f t="shared" si="3"/>
        <v>19330007.65178806</v>
      </c>
      <c r="H42" s="139">
        <f>G42/F42</f>
        <v>5.8192638845190311E-2</v>
      </c>
    </row>
    <row r="43" spans="1:12" x14ac:dyDescent="0.25">
      <c r="F43" s="6"/>
      <c r="G43" s="6"/>
      <c r="H43" s="6"/>
    </row>
    <row r="44" spans="1:12" x14ac:dyDescent="0.25">
      <c r="B44" s="207"/>
    </row>
    <row r="45" spans="1:12" x14ac:dyDescent="0.25">
      <c r="B45" s="60"/>
      <c r="C45" s="60"/>
      <c r="D45" s="60"/>
      <c r="E45" s="60"/>
      <c r="F45" s="60"/>
      <c r="G45" s="60"/>
      <c r="H45" s="60"/>
    </row>
    <row r="49" spans="9:16" x14ac:dyDescent="0.25">
      <c r="I49" s="58"/>
    </row>
    <row r="53" spans="9:16" x14ac:dyDescent="0.25">
      <c r="J53" s="120"/>
      <c r="P53" s="142"/>
    </row>
    <row r="54" spans="9:16" x14ac:dyDescent="0.25">
      <c r="J54" s="120"/>
    </row>
    <row r="55" spans="9:16" x14ac:dyDescent="0.25">
      <c r="J55" s="120"/>
    </row>
  </sheetData>
  <mergeCells count="5">
    <mergeCell ref="A1:H1"/>
    <mergeCell ref="A2:H2"/>
    <mergeCell ref="A3:H3"/>
    <mergeCell ref="A4:H4"/>
    <mergeCell ref="A5:H5"/>
  </mergeCells>
  <printOptions horizontalCentered="1"/>
  <pageMargins left="0.75" right="0.75" top="1.75" bottom="0.5" header="0.75" footer="0.25"/>
  <pageSetup scale="62" orientation="landscape" r:id="rId1"/>
  <headerFooter>
    <oddHeader xml:space="preserve">&amp;C&amp;"Times New Roman,Bold"&amp;12
</oddHeader>
  </headerFooter>
  <rowBreaks count="1" manualBreakCount="1">
    <brk id="4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6" tint="0.39997558519241921"/>
  </sheetPr>
  <dimension ref="A1:Q296"/>
  <sheetViews>
    <sheetView view="pageBreakPreview" zoomScale="85" zoomScaleNormal="85" zoomScaleSheetLayoutView="85" workbookViewId="0">
      <pane xSplit="3" topLeftCell="D1" activePane="topRight" state="frozen"/>
      <selection pane="topRight" activeCell="B1" sqref="B1:L1"/>
    </sheetView>
  </sheetViews>
  <sheetFormatPr defaultColWidth="9.140625" defaultRowHeight="15.75" x14ac:dyDescent="0.25"/>
  <cols>
    <col min="1" max="1" width="17.28515625" style="6" hidden="1" customWidth="1"/>
    <col min="2" max="2" width="5.85546875" style="17" customWidth="1"/>
    <col min="3" max="3" width="45.42578125" style="17" customWidth="1"/>
    <col min="4" max="4" width="15.85546875" style="17" customWidth="1"/>
    <col min="5" max="5" width="19.140625" style="24" customWidth="1"/>
    <col min="6" max="6" width="20.85546875" style="24" customWidth="1"/>
    <col min="7" max="7" width="19.42578125" style="24" customWidth="1"/>
    <col min="8" max="8" width="18.85546875" style="17" customWidth="1"/>
    <col min="9" max="9" width="24.7109375" style="17" customWidth="1"/>
    <col min="10" max="10" width="4.28515625" style="17" customWidth="1"/>
    <col min="11" max="11" width="21" style="17" customWidth="1"/>
    <col min="12" max="12" width="22.5703125" style="6" customWidth="1"/>
    <col min="13" max="13" width="18.28515625" style="6" bestFit="1" customWidth="1"/>
    <col min="14" max="14" width="16.85546875" style="6" customWidth="1"/>
    <col min="15" max="15" width="16" style="6" customWidth="1"/>
    <col min="16" max="17" width="15.42578125" style="6" customWidth="1"/>
    <col min="18" max="16384" width="9.140625" style="6"/>
  </cols>
  <sheetData>
    <row r="1" spans="1:17" x14ac:dyDescent="0.25">
      <c r="A1" s="4"/>
      <c r="B1" s="236" t="str">
        <f>Index!A5</f>
        <v>LOUISVILLE GAS AND ELECTRIC COMPANY</v>
      </c>
      <c r="C1" s="236"/>
      <c r="D1" s="236"/>
      <c r="E1" s="236"/>
      <c r="F1" s="236"/>
      <c r="G1" s="236"/>
      <c r="H1" s="236"/>
      <c r="I1" s="236"/>
      <c r="J1" s="236"/>
      <c r="K1" s="236"/>
      <c r="L1" s="236"/>
    </row>
    <row r="2" spans="1:17" x14ac:dyDescent="0.25">
      <c r="B2" s="236" t="str">
        <f>Index!A7</f>
        <v>CASE NO. 2018-00295</v>
      </c>
      <c r="C2" s="236"/>
      <c r="D2" s="236"/>
      <c r="E2" s="236"/>
      <c r="F2" s="236"/>
      <c r="G2" s="236"/>
      <c r="H2" s="236"/>
      <c r="I2" s="236"/>
      <c r="J2" s="236"/>
      <c r="K2" s="236"/>
      <c r="L2" s="236"/>
    </row>
    <row r="3" spans="1:17" x14ac:dyDescent="0.25">
      <c r="B3" s="236" t="str">
        <f>Index!C22</f>
        <v>Calculation of Proposed Gas Rate Increase</v>
      </c>
      <c r="C3" s="236"/>
      <c r="D3" s="236"/>
      <c r="E3" s="236"/>
      <c r="F3" s="236"/>
      <c r="G3" s="236"/>
      <c r="H3" s="236"/>
      <c r="I3" s="236"/>
      <c r="J3" s="236"/>
      <c r="K3" s="236"/>
      <c r="L3" s="236"/>
    </row>
    <row r="4" spans="1:17" x14ac:dyDescent="0.25">
      <c r="B4" s="236" t="str">
        <f>Index!D13</f>
        <v>For the 12 Months Ended April 30, 2020</v>
      </c>
      <c r="C4" s="236"/>
      <c r="D4" s="236"/>
      <c r="E4" s="236"/>
      <c r="F4" s="236"/>
      <c r="G4" s="236"/>
      <c r="H4" s="236"/>
      <c r="I4" s="236"/>
      <c r="J4" s="236"/>
      <c r="K4" s="236"/>
      <c r="L4" s="236"/>
    </row>
    <row r="5" spans="1:17" x14ac:dyDescent="0.25">
      <c r="B5" s="237" t="s">
        <v>95</v>
      </c>
      <c r="C5" s="237"/>
      <c r="D5" s="237"/>
      <c r="E5" s="237"/>
      <c r="F5" s="237"/>
      <c r="G5" s="237"/>
      <c r="H5" s="237"/>
      <c r="I5" s="237"/>
      <c r="J5" s="237"/>
      <c r="K5" s="237"/>
      <c r="L5" s="237"/>
    </row>
    <row r="7" spans="1:17" x14ac:dyDescent="0.25">
      <c r="B7" s="14" t="str">
        <f>'Stipulation Sch M-2.1-G'!A10</f>
        <v>DATA:  ____ BASE PERIOD  __X__  FORECAST PERIOD</v>
      </c>
      <c r="C7" s="15"/>
      <c r="D7" s="15"/>
      <c r="E7" s="16"/>
      <c r="F7" s="16"/>
      <c r="G7" s="16"/>
      <c r="H7" s="15"/>
      <c r="L7" s="19" t="str">
        <f>'Stipulation Sch M-2.1-G'!F10</f>
        <v>Stipulation Exhibit 5</v>
      </c>
    </row>
    <row r="8" spans="1:17" x14ac:dyDescent="0.25">
      <c r="B8" s="18" t="str">
        <f>'Stipulation Sch M-2.1-G'!A11</f>
        <v>TYPE OF FILING: __X__ ORIGINAL  _____ UPDATED  _____ REVISED</v>
      </c>
      <c r="C8" s="15"/>
      <c r="D8" s="15"/>
      <c r="E8" s="16"/>
      <c r="F8" s="16"/>
      <c r="G8" s="16"/>
      <c r="H8" s="15"/>
      <c r="L8" s="19"/>
    </row>
    <row r="9" spans="1:17" x14ac:dyDescent="0.25">
      <c r="B9" s="18" t="str">
        <f>'Stipulation Sch M-2.1-G'!A12</f>
        <v>WORK PAPER REFERENCE NO(S):</v>
      </c>
      <c r="C9" s="15"/>
      <c r="D9" s="15"/>
      <c r="E9" s="16"/>
      <c r="F9" s="16"/>
      <c r="G9" s="16"/>
      <c r="H9" s="15"/>
      <c r="L9" s="126"/>
    </row>
    <row r="10" spans="1:17" x14ac:dyDescent="0.25">
      <c r="B10" s="20"/>
      <c r="C10" s="21"/>
      <c r="D10" s="22"/>
      <c r="E10" s="23"/>
      <c r="F10" s="209"/>
      <c r="G10" s="209"/>
      <c r="H10" s="208"/>
      <c r="I10" s="209"/>
      <c r="J10" s="209"/>
    </row>
    <row r="11" spans="1:17" ht="16.5" thickBot="1" x14ac:dyDescent="0.3">
      <c r="I11" s="25"/>
      <c r="J11" s="26"/>
      <c r="K11" s="235" t="s">
        <v>177</v>
      </c>
      <c r="L11" s="235"/>
      <c r="M11" s="5"/>
      <c r="N11" s="5"/>
      <c r="O11" s="5"/>
      <c r="P11" s="5"/>
      <c r="Q11" s="5"/>
    </row>
    <row r="12" spans="1:17" x14ac:dyDescent="0.25">
      <c r="I12" s="25"/>
      <c r="J12" s="26"/>
      <c r="K12" s="26"/>
      <c r="L12" s="5"/>
      <c r="M12" s="5"/>
      <c r="N12" s="5"/>
      <c r="O12" s="5"/>
      <c r="P12" s="5"/>
      <c r="Q12" s="5"/>
    </row>
    <row r="13" spans="1:17" x14ac:dyDescent="0.25">
      <c r="E13" s="27"/>
      <c r="F13" s="28"/>
      <c r="G13" s="28"/>
      <c r="H13" s="25"/>
      <c r="I13" s="29"/>
      <c r="J13" s="30"/>
      <c r="K13" s="25" t="s">
        <v>79</v>
      </c>
      <c r="L13" s="25" t="s">
        <v>15</v>
      </c>
      <c r="M13" s="5"/>
      <c r="N13" s="5"/>
      <c r="O13" s="5"/>
      <c r="P13" s="5"/>
      <c r="Q13" s="5"/>
    </row>
    <row r="14" spans="1:17" ht="32.25" thickBot="1" x14ac:dyDescent="0.3">
      <c r="B14" s="31" t="s">
        <v>7</v>
      </c>
      <c r="C14" s="31"/>
      <c r="D14" s="31"/>
      <c r="E14" s="32" t="s">
        <v>131</v>
      </c>
      <c r="F14" s="33" t="s">
        <v>5</v>
      </c>
      <c r="G14" s="33" t="s">
        <v>103</v>
      </c>
      <c r="H14" s="32" t="s">
        <v>104</v>
      </c>
      <c r="I14" s="32" t="s">
        <v>105</v>
      </c>
      <c r="J14" s="34"/>
      <c r="K14" s="35" t="s">
        <v>80</v>
      </c>
      <c r="L14" s="35" t="s">
        <v>6</v>
      </c>
      <c r="M14" s="5"/>
      <c r="N14" s="5"/>
      <c r="O14" s="5"/>
      <c r="P14" s="5"/>
      <c r="Q14" s="5"/>
    </row>
    <row r="15" spans="1:17" x14ac:dyDescent="0.25">
      <c r="B15" s="36"/>
      <c r="C15" s="36"/>
      <c r="D15" s="36"/>
      <c r="E15" s="37"/>
      <c r="F15" s="37"/>
      <c r="G15" s="37"/>
      <c r="H15" s="38"/>
      <c r="I15" s="38"/>
      <c r="J15" s="38"/>
      <c r="K15" s="5"/>
      <c r="L15" s="5"/>
      <c r="M15" s="5"/>
      <c r="N15" s="5"/>
      <c r="O15" s="5"/>
      <c r="P15" s="5"/>
      <c r="Q15" s="5"/>
    </row>
    <row r="16" spans="1:17" x14ac:dyDescent="0.25">
      <c r="B16" s="39" t="s">
        <v>138</v>
      </c>
      <c r="D16" s="40"/>
      <c r="E16" s="25"/>
      <c r="F16" s="25"/>
      <c r="K16" s="5"/>
      <c r="L16" s="5"/>
      <c r="M16" s="5"/>
      <c r="N16" s="5"/>
      <c r="O16" s="5"/>
      <c r="P16" s="5"/>
      <c r="Q16" s="5"/>
    </row>
    <row r="17" spans="1:17" x14ac:dyDescent="0.25">
      <c r="B17" s="40"/>
      <c r="D17" s="40"/>
      <c r="E17" s="25"/>
      <c r="F17" s="25"/>
      <c r="K17" s="5"/>
      <c r="L17" s="5"/>
      <c r="M17" s="5"/>
      <c r="N17" s="5"/>
      <c r="O17" s="5"/>
      <c r="P17" s="5"/>
      <c r="Q17" s="5"/>
    </row>
    <row r="18" spans="1:17" x14ac:dyDescent="0.25">
      <c r="A18" s="6" t="s">
        <v>4</v>
      </c>
      <c r="B18" s="40" t="s">
        <v>139</v>
      </c>
      <c r="D18" s="41"/>
      <c r="K18" s="5"/>
      <c r="L18" s="5"/>
      <c r="M18" s="5"/>
      <c r="N18" s="5"/>
      <c r="O18" s="5"/>
      <c r="P18" s="5"/>
      <c r="Q18" s="5"/>
    </row>
    <row r="19" spans="1:17" x14ac:dyDescent="0.25">
      <c r="B19" s="40"/>
      <c r="C19" s="62" t="s">
        <v>117</v>
      </c>
      <c r="D19" s="41"/>
      <c r="K19" s="5"/>
      <c r="L19" s="5"/>
      <c r="M19" s="5"/>
      <c r="N19" s="5"/>
      <c r="O19" s="5"/>
      <c r="P19" s="5"/>
      <c r="Q19" s="5"/>
    </row>
    <row r="20" spans="1:17" x14ac:dyDescent="0.25">
      <c r="B20" s="42"/>
      <c r="C20" s="6" t="s">
        <v>132</v>
      </c>
      <c r="D20" s="43"/>
      <c r="E20" s="57">
        <v>3587761</v>
      </c>
      <c r="F20" s="57"/>
      <c r="H20" s="45">
        <v>16.350000000000001</v>
      </c>
      <c r="I20" s="44">
        <f>+E20*H20</f>
        <v>58659892.350000001</v>
      </c>
      <c r="J20" s="44"/>
      <c r="K20" s="45"/>
      <c r="L20" s="44"/>
      <c r="M20" s="79"/>
      <c r="N20" s="5"/>
      <c r="O20" s="5"/>
      <c r="P20" s="5"/>
      <c r="Q20" s="5"/>
    </row>
    <row r="21" spans="1:17" x14ac:dyDescent="0.25">
      <c r="B21" s="42"/>
      <c r="C21" s="6" t="s">
        <v>133</v>
      </c>
      <c r="D21" s="43"/>
      <c r="E21" s="57">
        <v>109202475.4375</v>
      </c>
      <c r="F21" s="57"/>
      <c r="H21" s="45"/>
      <c r="I21" s="44"/>
      <c r="J21" s="44"/>
      <c r="K21" s="45">
        <v>0.65</v>
      </c>
      <c r="L21" s="44">
        <f>E21*K21</f>
        <v>70981609.034374997</v>
      </c>
      <c r="M21" s="120"/>
      <c r="N21" s="5"/>
      <c r="O21" s="5"/>
      <c r="P21" s="5"/>
      <c r="Q21" s="5"/>
    </row>
    <row r="22" spans="1:17" x14ac:dyDescent="0.25">
      <c r="C22" s="46" t="s">
        <v>106</v>
      </c>
      <c r="E22" s="223"/>
      <c r="F22" s="57">
        <v>19344464.899848823</v>
      </c>
      <c r="H22" s="47">
        <v>3.63</v>
      </c>
      <c r="I22" s="48">
        <f>+F22*H22</f>
        <v>70220407.586451218</v>
      </c>
      <c r="J22" s="44"/>
      <c r="K22" s="47">
        <v>3.7033999999999998</v>
      </c>
      <c r="L22" s="48">
        <f>F22*K22</f>
        <v>71640291.310100123</v>
      </c>
      <c r="M22" s="120"/>
      <c r="N22" s="5"/>
      <c r="O22" s="5"/>
      <c r="P22" s="5"/>
      <c r="Q22" s="5"/>
    </row>
    <row r="23" spans="1:17" x14ac:dyDescent="0.25">
      <c r="C23" s="40" t="s">
        <v>25</v>
      </c>
      <c r="F23" s="49"/>
      <c r="H23" s="47"/>
      <c r="I23" s="52">
        <f>SUM(I20:I22)</f>
        <v>128880299.93645123</v>
      </c>
      <c r="J23" s="44"/>
      <c r="K23" s="47"/>
      <c r="L23" s="52">
        <f>SUM(L20:L22)</f>
        <v>142621900.34447512</v>
      </c>
      <c r="M23" s="5"/>
      <c r="N23" s="5"/>
      <c r="O23" s="5"/>
      <c r="P23" s="5"/>
      <c r="Q23" s="5"/>
    </row>
    <row r="24" spans="1:17" x14ac:dyDescent="0.25">
      <c r="C24" s="50"/>
      <c r="F24" s="49"/>
      <c r="H24" s="47"/>
      <c r="I24" s="44"/>
      <c r="J24" s="44"/>
      <c r="K24" s="47"/>
      <c r="L24" s="44"/>
      <c r="M24" s="5"/>
      <c r="N24" s="5"/>
      <c r="O24" s="5"/>
      <c r="P24" s="5"/>
      <c r="Q24" s="5"/>
    </row>
    <row r="25" spans="1:17" x14ac:dyDescent="0.25">
      <c r="C25" s="40" t="s">
        <v>87</v>
      </c>
      <c r="F25" s="49"/>
      <c r="G25" s="24" t="s">
        <v>112</v>
      </c>
      <c r="H25" s="51">
        <v>1</v>
      </c>
      <c r="I25" s="52">
        <f>I23/H25</f>
        <v>128880299.93645123</v>
      </c>
      <c r="J25" s="52"/>
      <c r="K25" s="51">
        <f>H25</f>
        <v>1</v>
      </c>
      <c r="L25" s="52">
        <f>L23/K25</f>
        <v>142621900.34447512</v>
      </c>
      <c r="O25" s="5"/>
      <c r="P25" s="5"/>
      <c r="Q25" s="5"/>
    </row>
    <row r="26" spans="1:17" x14ac:dyDescent="0.25">
      <c r="F26" s="53"/>
      <c r="K26" s="5"/>
      <c r="L26" s="5"/>
      <c r="O26" s="5"/>
      <c r="P26" s="5"/>
      <c r="Q26" s="5"/>
    </row>
    <row r="27" spans="1:17" x14ac:dyDescent="0.25">
      <c r="C27" s="50" t="s">
        <v>38</v>
      </c>
      <c r="I27" s="44">
        <v>78109569.334308967</v>
      </c>
      <c r="J27" s="44"/>
      <c r="K27" s="5"/>
      <c r="L27" s="44">
        <f>I27</f>
        <v>78109569.334308967</v>
      </c>
      <c r="M27" s="226"/>
      <c r="O27" s="5"/>
      <c r="P27" s="5"/>
      <c r="Q27" s="5"/>
    </row>
    <row r="28" spans="1:17" ht="16.5" customHeight="1" x14ac:dyDescent="0.25">
      <c r="C28" s="50" t="s">
        <v>39</v>
      </c>
      <c r="D28" s="6"/>
      <c r="E28" s="54"/>
      <c r="F28" s="54"/>
      <c r="G28" s="54"/>
      <c r="H28" s="6"/>
      <c r="I28" s="44">
        <v>1435561.3472547519</v>
      </c>
      <c r="J28" s="44"/>
      <c r="K28" s="5"/>
      <c r="L28" s="44">
        <f>I28</f>
        <v>1435561.3472547519</v>
      </c>
      <c r="M28" s="79"/>
      <c r="N28" s="227"/>
      <c r="O28" s="5"/>
      <c r="P28" s="5"/>
      <c r="Q28" s="5"/>
    </row>
    <row r="29" spans="1:17" x14ac:dyDescent="0.25">
      <c r="B29" s="6"/>
      <c r="C29" s="50" t="s">
        <v>35</v>
      </c>
      <c r="D29" s="6"/>
      <c r="E29" s="54"/>
      <c r="F29" s="54"/>
      <c r="G29" s="54"/>
      <c r="H29" s="6"/>
      <c r="I29" s="44">
        <v>9542287.5096951965</v>
      </c>
      <c r="J29" s="44"/>
      <c r="K29" s="5"/>
      <c r="L29" s="44">
        <f>I29</f>
        <v>9542287.5096951965</v>
      </c>
      <c r="M29" s="5"/>
      <c r="N29" s="5"/>
      <c r="O29" s="5"/>
      <c r="P29" s="5"/>
      <c r="Q29" s="5"/>
    </row>
    <row r="31" spans="1:17" ht="16.5" thickBot="1" x14ac:dyDescent="0.3">
      <c r="C31" s="40" t="s">
        <v>140</v>
      </c>
      <c r="I31" s="55">
        <f>SUM(I25:I29)</f>
        <v>217967718.12771013</v>
      </c>
      <c r="J31" s="56"/>
      <c r="K31" s="5"/>
      <c r="L31" s="55">
        <f>SUM(L25:L29)</f>
        <v>231709318.53573403</v>
      </c>
      <c r="O31" s="5"/>
      <c r="P31" s="5"/>
      <c r="Q31" s="5"/>
    </row>
    <row r="32" spans="1:17" ht="16.5" thickTop="1" x14ac:dyDescent="0.25">
      <c r="B32" s="40"/>
      <c r="I32" s="56"/>
      <c r="J32" s="56"/>
      <c r="K32" s="5"/>
      <c r="L32" s="5"/>
      <c r="O32" s="5"/>
      <c r="P32" s="5"/>
      <c r="Q32" s="5"/>
    </row>
    <row r="33" spans="1:17" x14ac:dyDescent="0.25">
      <c r="B33" s="40"/>
      <c r="C33" s="59" t="s">
        <v>81</v>
      </c>
      <c r="I33" s="56"/>
      <c r="J33" s="56"/>
      <c r="K33" s="5"/>
      <c r="L33" s="58">
        <f>L31-I31</f>
        <v>13741600.408023894</v>
      </c>
      <c r="M33" s="60"/>
      <c r="N33" s="58"/>
      <c r="O33" s="5"/>
      <c r="P33" s="5"/>
      <c r="Q33" s="5"/>
    </row>
    <row r="34" spans="1:17" x14ac:dyDescent="0.25">
      <c r="B34" s="40"/>
      <c r="I34" s="56"/>
      <c r="J34" s="56"/>
      <c r="K34" s="5"/>
      <c r="L34" s="61">
        <f>L33/I31</f>
        <v>6.3044199967136921E-2</v>
      </c>
      <c r="M34" s="61"/>
      <c r="N34" s="58"/>
      <c r="O34" s="5"/>
      <c r="P34" s="5"/>
      <c r="Q34" s="5"/>
    </row>
    <row r="35" spans="1:17" x14ac:dyDescent="0.25">
      <c r="K35" s="5"/>
      <c r="L35" s="5"/>
      <c r="M35" s="5"/>
      <c r="N35" s="5"/>
      <c r="O35" s="5"/>
      <c r="P35" s="5"/>
      <c r="Q35" s="5"/>
    </row>
    <row r="36" spans="1:17" x14ac:dyDescent="0.25">
      <c r="K36" s="5"/>
      <c r="L36" s="126"/>
      <c r="M36" s="5"/>
      <c r="N36" s="5"/>
      <c r="O36" s="5"/>
      <c r="P36" s="5"/>
      <c r="Q36" s="5"/>
    </row>
    <row r="37" spans="1:17" x14ac:dyDescent="0.25">
      <c r="B37" s="39" t="s">
        <v>16</v>
      </c>
      <c r="D37" s="40"/>
      <c r="E37" s="25"/>
      <c r="F37" s="25"/>
      <c r="K37" s="5"/>
      <c r="L37" s="5"/>
      <c r="M37" s="5"/>
      <c r="N37" s="5"/>
      <c r="O37" s="5"/>
      <c r="P37" s="5"/>
      <c r="Q37" s="5"/>
    </row>
    <row r="38" spans="1:17" x14ac:dyDescent="0.25">
      <c r="B38" s="40"/>
      <c r="D38" s="40"/>
      <c r="E38" s="25"/>
      <c r="F38" s="25"/>
      <c r="K38" s="5"/>
      <c r="L38" s="5"/>
      <c r="M38" s="5"/>
      <c r="N38" s="5"/>
      <c r="O38" s="5"/>
      <c r="P38" s="5"/>
      <c r="Q38" s="5"/>
    </row>
    <row r="39" spans="1:17" x14ac:dyDescent="0.25">
      <c r="A39" s="6" t="s">
        <v>2</v>
      </c>
      <c r="B39" s="40" t="s">
        <v>142</v>
      </c>
      <c r="K39" s="5"/>
      <c r="L39" s="5"/>
      <c r="M39" s="5"/>
      <c r="N39" s="5"/>
      <c r="O39" s="5"/>
      <c r="P39" s="5"/>
      <c r="Q39" s="5"/>
    </row>
    <row r="40" spans="1:17" x14ac:dyDescent="0.25">
      <c r="B40" s="40"/>
      <c r="C40" s="62" t="s">
        <v>117</v>
      </c>
      <c r="K40" s="45"/>
      <c r="L40" s="5"/>
      <c r="M40" s="5"/>
      <c r="N40" s="5"/>
      <c r="O40" s="5"/>
      <c r="P40" s="5"/>
      <c r="Q40" s="5"/>
    </row>
    <row r="41" spans="1:17" x14ac:dyDescent="0.25">
      <c r="B41" s="63"/>
      <c r="C41" s="59" t="s">
        <v>134</v>
      </c>
      <c r="E41" s="49">
        <v>287832</v>
      </c>
      <c r="H41" s="45">
        <v>60</v>
      </c>
      <c r="I41" s="44">
        <f>+E41*H41</f>
        <v>17269920</v>
      </c>
      <c r="J41" s="44"/>
      <c r="K41" s="45"/>
      <c r="L41" s="44"/>
      <c r="M41" s="5"/>
      <c r="N41" s="5"/>
      <c r="O41" s="57"/>
      <c r="P41" s="64"/>
      <c r="Q41" s="5"/>
    </row>
    <row r="42" spans="1:17" x14ac:dyDescent="0.25">
      <c r="B42" s="63"/>
      <c r="C42" s="59" t="s">
        <v>135</v>
      </c>
      <c r="E42" s="49">
        <v>13105</v>
      </c>
      <c r="H42" s="45">
        <v>285</v>
      </c>
      <c r="I42" s="44">
        <f>+E42*H42</f>
        <v>3734925</v>
      </c>
      <c r="J42" s="44"/>
      <c r="K42" s="45"/>
      <c r="L42" s="44"/>
      <c r="M42" s="65"/>
      <c r="N42" s="5"/>
      <c r="O42" s="57"/>
      <c r="P42" s="57"/>
      <c r="Q42" s="5"/>
    </row>
    <row r="43" spans="1:17" x14ac:dyDescent="0.25">
      <c r="B43" s="63"/>
      <c r="C43" s="59" t="s">
        <v>136</v>
      </c>
      <c r="E43" s="49">
        <v>8760886.5</v>
      </c>
      <c r="H43" s="45"/>
      <c r="I43" s="44"/>
      <c r="J43" s="44"/>
      <c r="K43" s="45">
        <v>1.97</v>
      </c>
      <c r="L43" s="44">
        <f t="shared" ref="L43:L44" si="0">E43*K43</f>
        <v>17258946.405000001</v>
      </c>
      <c r="M43" s="120"/>
      <c r="N43" s="79"/>
      <c r="O43" s="57"/>
      <c r="P43" s="57"/>
      <c r="Q43" s="5"/>
    </row>
    <row r="44" spans="1:17" x14ac:dyDescent="0.25">
      <c r="B44" s="63"/>
      <c r="C44" s="59" t="s">
        <v>137</v>
      </c>
      <c r="E44" s="49">
        <v>398883.4375</v>
      </c>
      <c r="H44" s="45"/>
      <c r="I44" s="44"/>
      <c r="J44" s="44"/>
      <c r="K44" s="45">
        <v>9.3699999999999992</v>
      </c>
      <c r="L44" s="44">
        <f t="shared" si="0"/>
        <v>3737537.8093749997</v>
      </c>
      <c r="M44" s="120"/>
      <c r="N44" s="79"/>
      <c r="O44" s="57"/>
      <c r="P44" s="57"/>
      <c r="Q44" s="5"/>
    </row>
    <row r="45" spans="1:17" x14ac:dyDescent="0.25">
      <c r="C45" s="66" t="s">
        <v>106</v>
      </c>
      <c r="E45" s="49"/>
      <c r="H45" s="67"/>
      <c r="K45" s="45"/>
      <c r="L45" s="68"/>
      <c r="M45" s="69"/>
      <c r="N45" s="5"/>
      <c r="O45" s="60"/>
      <c r="P45" s="5"/>
      <c r="Q45" s="5"/>
    </row>
    <row r="46" spans="1:17" x14ac:dyDescent="0.25">
      <c r="B46" s="70"/>
      <c r="C46" s="17" t="s">
        <v>108</v>
      </c>
      <c r="E46" s="71"/>
      <c r="F46" s="49">
        <v>9853293.9294005223</v>
      </c>
      <c r="H46" s="67">
        <v>2.5133000000000001</v>
      </c>
      <c r="I46" s="72">
        <f>+F46*H46</f>
        <v>24764283.632762335</v>
      </c>
      <c r="J46" s="72"/>
      <c r="K46" s="67">
        <v>3.0872999999999999</v>
      </c>
      <c r="L46" s="44">
        <f>F46*K46</f>
        <v>30420074.348238233</v>
      </c>
      <c r="M46" s="120"/>
      <c r="N46" s="5"/>
      <c r="O46" s="5"/>
      <c r="P46" s="5"/>
      <c r="Q46" s="5"/>
    </row>
    <row r="47" spans="1:17" x14ac:dyDescent="0.25">
      <c r="B47" s="63"/>
      <c r="C47" s="73" t="s">
        <v>109</v>
      </c>
      <c r="G47" s="49">
        <v>98036.511630896915</v>
      </c>
      <c r="H47" s="67">
        <v>2.0133000000000001</v>
      </c>
      <c r="I47" s="74">
        <f>+H47*G47</f>
        <v>197376.90886648477</v>
      </c>
      <c r="J47" s="72"/>
      <c r="K47" s="67">
        <f>K46-0.5</f>
        <v>2.5872999999999999</v>
      </c>
      <c r="L47" s="48">
        <f>G47*K47</f>
        <v>253649.86654261959</v>
      </c>
      <c r="M47" s="120"/>
      <c r="N47" s="5"/>
      <c r="O47" s="5"/>
      <c r="P47" s="5"/>
      <c r="Q47" s="5"/>
    </row>
    <row r="48" spans="1:17" x14ac:dyDescent="0.25">
      <c r="C48" s="40" t="s">
        <v>25</v>
      </c>
      <c r="G48" s="53"/>
      <c r="I48" s="52">
        <f>SUM(I41:I47)</f>
        <v>45966505.541628823</v>
      </c>
      <c r="J48" s="52"/>
      <c r="L48" s="52">
        <f>SUM(L41:L47)</f>
        <v>51670208.429155856</v>
      </c>
      <c r="M48" s="5"/>
      <c r="N48" s="5"/>
      <c r="O48" s="5"/>
      <c r="P48" s="5"/>
      <c r="Q48" s="5"/>
    </row>
    <row r="49" spans="1:17" x14ac:dyDescent="0.25">
      <c r="C49" s="40"/>
      <c r="G49" s="53"/>
      <c r="I49" s="52"/>
      <c r="J49" s="52"/>
      <c r="K49" s="45"/>
      <c r="L49" s="52"/>
      <c r="M49" s="5"/>
      <c r="N49" s="5"/>
      <c r="O49" s="5"/>
      <c r="P49" s="5"/>
      <c r="Q49" s="5"/>
    </row>
    <row r="50" spans="1:17" x14ac:dyDescent="0.25">
      <c r="C50" s="40" t="s">
        <v>87</v>
      </c>
      <c r="G50" s="24" t="s">
        <v>107</v>
      </c>
      <c r="H50" s="51">
        <v>1</v>
      </c>
      <c r="I50" s="52">
        <f>IF(H50=0,0,I48/H50)</f>
        <v>45966505.541628823</v>
      </c>
      <c r="K50" s="75">
        <f>H50</f>
        <v>1</v>
      </c>
      <c r="L50" s="52">
        <f>IF(K50=0,0,L48/K50)</f>
        <v>51670208.429155856</v>
      </c>
      <c r="M50" s="5"/>
      <c r="N50" s="5"/>
      <c r="O50" s="5"/>
      <c r="P50" s="5"/>
      <c r="Q50" s="5"/>
    </row>
    <row r="51" spans="1:17" x14ac:dyDescent="0.25">
      <c r="C51" s="40"/>
      <c r="G51" s="53"/>
      <c r="I51" s="52"/>
      <c r="J51" s="52"/>
      <c r="K51" s="45"/>
      <c r="L51" s="52"/>
      <c r="M51" s="5"/>
      <c r="N51" s="5"/>
      <c r="O51" s="5"/>
      <c r="P51" s="5"/>
      <c r="Q51" s="5"/>
    </row>
    <row r="52" spans="1:17" x14ac:dyDescent="0.25">
      <c r="C52" s="40"/>
      <c r="G52" s="53"/>
      <c r="I52" s="52"/>
      <c r="J52" s="52"/>
      <c r="K52" s="45"/>
      <c r="L52" s="52"/>
      <c r="M52" s="5"/>
      <c r="N52" s="5"/>
      <c r="O52" s="76"/>
      <c r="P52" s="5"/>
      <c r="Q52" s="5"/>
    </row>
    <row r="53" spans="1:17" x14ac:dyDescent="0.25">
      <c r="A53" s="6" t="s">
        <v>90</v>
      </c>
      <c r="B53" s="36" t="s">
        <v>143</v>
      </c>
      <c r="K53" s="45"/>
      <c r="L53" s="44"/>
      <c r="M53" s="5"/>
      <c r="N53" s="5"/>
      <c r="O53" s="77"/>
      <c r="P53" s="5"/>
      <c r="Q53" s="5"/>
    </row>
    <row r="54" spans="1:17" x14ac:dyDescent="0.25">
      <c r="B54" s="36"/>
      <c r="C54" s="62"/>
      <c r="K54" s="45"/>
      <c r="L54" s="44"/>
      <c r="M54" s="5"/>
      <c r="N54" s="5"/>
      <c r="O54" s="77"/>
      <c r="P54" s="5"/>
      <c r="Q54" s="5"/>
    </row>
    <row r="55" spans="1:17" x14ac:dyDescent="0.25">
      <c r="C55" s="17" t="s">
        <v>17</v>
      </c>
      <c r="E55" s="49">
        <v>0</v>
      </c>
      <c r="H55" s="45">
        <v>550</v>
      </c>
      <c r="I55" s="78">
        <f>E55*H55</f>
        <v>0</v>
      </c>
      <c r="J55" s="78"/>
      <c r="K55" s="45">
        <v>550</v>
      </c>
      <c r="L55" s="78">
        <f>E55*K55</f>
        <v>0</v>
      </c>
      <c r="M55" s="120"/>
      <c r="N55" s="5"/>
      <c r="O55" s="79"/>
      <c r="P55" s="5"/>
      <c r="Q55" s="5"/>
    </row>
    <row r="56" spans="1:17" x14ac:dyDescent="0.25">
      <c r="C56" s="62" t="s">
        <v>117</v>
      </c>
      <c r="H56" s="45"/>
      <c r="I56" s="78"/>
      <c r="J56" s="78"/>
      <c r="K56" s="45"/>
      <c r="L56" s="44"/>
      <c r="M56" s="57"/>
      <c r="N56" s="5"/>
      <c r="O56" s="79"/>
      <c r="P56" s="5"/>
      <c r="Q56" s="5"/>
    </row>
    <row r="57" spans="1:17" x14ac:dyDescent="0.25">
      <c r="C57" s="59" t="s">
        <v>134</v>
      </c>
      <c r="E57" s="49">
        <v>0</v>
      </c>
      <c r="H57" s="45">
        <v>60</v>
      </c>
      <c r="I57" s="78">
        <f>E57*H57</f>
        <v>0</v>
      </c>
      <c r="J57" s="78"/>
      <c r="K57" s="80"/>
      <c r="L57" s="44"/>
      <c r="M57" s="57"/>
      <c r="N57" s="5"/>
      <c r="O57" s="79"/>
      <c r="P57" s="5"/>
      <c r="Q57" s="5"/>
    </row>
    <row r="58" spans="1:17" x14ac:dyDescent="0.25">
      <c r="C58" s="59" t="s">
        <v>135</v>
      </c>
      <c r="E58" s="49">
        <v>0</v>
      </c>
      <c r="H58" s="45">
        <v>285</v>
      </c>
      <c r="I58" s="78">
        <f>E58*H58</f>
        <v>0</v>
      </c>
      <c r="J58" s="78"/>
      <c r="K58" s="80"/>
      <c r="L58" s="44"/>
      <c r="N58" s="5"/>
      <c r="O58" s="79"/>
      <c r="P58" s="5"/>
      <c r="Q58" s="5"/>
    </row>
    <row r="59" spans="1:17" x14ac:dyDescent="0.25">
      <c r="C59" s="59" t="s">
        <v>136</v>
      </c>
      <c r="E59" s="49">
        <v>0</v>
      </c>
      <c r="H59" s="45"/>
      <c r="I59" s="78"/>
      <c r="J59" s="78"/>
      <c r="K59" s="80">
        <f>K43</f>
        <v>1.97</v>
      </c>
      <c r="L59" s="78">
        <f>E59*K59</f>
        <v>0</v>
      </c>
      <c r="M59" s="120"/>
      <c r="N59" s="5"/>
      <c r="O59" s="79"/>
      <c r="P59" s="5"/>
      <c r="Q59" s="5"/>
    </row>
    <row r="60" spans="1:17" x14ac:dyDescent="0.25">
      <c r="C60" s="59" t="s">
        <v>137</v>
      </c>
      <c r="E60" s="49">
        <v>0</v>
      </c>
      <c r="H60" s="45"/>
      <c r="I60" s="78"/>
      <c r="J60" s="78"/>
      <c r="K60" s="80">
        <f>K44</f>
        <v>9.3699999999999992</v>
      </c>
      <c r="L60" s="78">
        <f>E60*K60</f>
        <v>0</v>
      </c>
      <c r="M60" s="120"/>
      <c r="N60" s="5"/>
      <c r="O60" s="79"/>
      <c r="P60" s="5"/>
      <c r="Q60" s="5"/>
    </row>
    <row r="61" spans="1:17" x14ac:dyDescent="0.25">
      <c r="C61" s="66" t="s">
        <v>106</v>
      </c>
      <c r="E61" s="49"/>
      <c r="H61" s="45"/>
      <c r="I61" s="78"/>
      <c r="J61" s="78"/>
      <c r="K61" s="45"/>
      <c r="L61" s="78"/>
      <c r="M61" s="5"/>
      <c r="N61" s="5"/>
      <c r="O61" s="79"/>
      <c r="P61" s="5"/>
      <c r="Q61" s="5"/>
    </row>
    <row r="62" spans="1:17" x14ac:dyDescent="0.25">
      <c r="C62" s="17" t="s">
        <v>108</v>
      </c>
      <c r="E62" s="49"/>
      <c r="F62" s="49">
        <v>0</v>
      </c>
      <c r="H62" s="67">
        <v>2.5133000000000001</v>
      </c>
      <c r="I62" s="78">
        <f>F62*H62</f>
        <v>0</v>
      </c>
      <c r="J62" s="78"/>
      <c r="K62" s="67">
        <f>K46</f>
        <v>3.0872999999999999</v>
      </c>
      <c r="L62" s="78">
        <f>F62*K62</f>
        <v>0</v>
      </c>
      <c r="M62" s="120"/>
      <c r="N62" s="5"/>
      <c r="O62" s="79"/>
      <c r="P62" s="5"/>
      <c r="Q62" s="5"/>
    </row>
    <row r="63" spans="1:17" x14ac:dyDescent="0.25">
      <c r="C63" s="73" t="s">
        <v>109</v>
      </c>
      <c r="E63" s="49"/>
      <c r="G63" s="49">
        <v>0</v>
      </c>
      <c r="H63" s="67">
        <v>2.0133000000000001</v>
      </c>
      <c r="I63" s="81">
        <f>G63*H63</f>
        <v>0</v>
      </c>
      <c r="J63" s="78"/>
      <c r="K63" s="67">
        <f>K47</f>
        <v>2.5872999999999999</v>
      </c>
      <c r="L63" s="81">
        <f>G63*K63</f>
        <v>0</v>
      </c>
      <c r="M63" s="120"/>
      <c r="N63" s="5"/>
      <c r="O63" s="79"/>
      <c r="P63" s="5"/>
      <c r="Q63" s="5"/>
    </row>
    <row r="64" spans="1:17" x14ac:dyDescent="0.25">
      <c r="C64" s="40" t="s">
        <v>25</v>
      </c>
      <c r="E64" s="49"/>
      <c r="H64" s="45"/>
      <c r="I64" s="200">
        <f>SUM(I55:I63)</f>
        <v>0</v>
      </c>
      <c r="J64" s="78"/>
      <c r="K64" s="45"/>
      <c r="L64" s="200">
        <f>SUM(L55:L63)</f>
        <v>0</v>
      </c>
      <c r="M64" s="5"/>
      <c r="N64" s="5"/>
      <c r="O64" s="79"/>
      <c r="P64" s="5"/>
      <c r="Q64" s="5"/>
    </row>
    <row r="65" spans="1:17" x14ac:dyDescent="0.25">
      <c r="C65" s="59"/>
      <c r="E65" s="49"/>
      <c r="H65" s="45"/>
      <c r="I65" s="78"/>
      <c r="J65" s="78"/>
      <c r="K65" s="45"/>
      <c r="L65" s="44"/>
      <c r="M65" s="5"/>
      <c r="N65" s="5"/>
      <c r="O65" s="79"/>
      <c r="P65" s="5"/>
      <c r="Q65" s="5"/>
    </row>
    <row r="66" spans="1:17" x14ac:dyDescent="0.25">
      <c r="C66" s="40" t="s">
        <v>87</v>
      </c>
      <c r="G66" s="24" t="s">
        <v>107</v>
      </c>
      <c r="H66" s="51">
        <v>0</v>
      </c>
      <c r="I66" s="200">
        <f>IF(H66=0,0,I64/H66)</f>
        <v>0</v>
      </c>
      <c r="K66" s="75">
        <f>H66</f>
        <v>0</v>
      </c>
      <c r="L66" s="200">
        <f>IF(K66=0,0,L64/K66)</f>
        <v>0</v>
      </c>
      <c r="M66" s="5"/>
      <c r="N66" s="5"/>
      <c r="O66" s="5"/>
      <c r="P66" s="5"/>
      <c r="Q66" s="5"/>
    </row>
    <row r="67" spans="1:17" x14ac:dyDescent="0.25">
      <c r="H67" s="67"/>
      <c r="I67" s="78"/>
      <c r="J67" s="78"/>
      <c r="K67" s="5"/>
      <c r="L67" s="44"/>
      <c r="M67" s="5"/>
      <c r="N67" s="5"/>
      <c r="O67" s="5"/>
      <c r="P67" s="5"/>
      <c r="Q67" s="5"/>
    </row>
    <row r="68" spans="1:17" x14ac:dyDescent="0.25">
      <c r="C68" s="50" t="s">
        <v>38</v>
      </c>
      <c r="H68" s="67"/>
      <c r="I68" s="44">
        <v>39681903.355606258</v>
      </c>
      <c r="J68" s="82"/>
      <c r="K68" s="5"/>
      <c r="L68" s="44">
        <f>I68</f>
        <v>39681903.355606258</v>
      </c>
      <c r="M68" s="5"/>
      <c r="N68" s="5"/>
      <c r="O68" s="5"/>
      <c r="P68" s="5"/>
      <c r="Q68" s="5"/>
    </row>
    <row r="69" spans="1:17" x14ac:dyDescent="0.25">
      <c r="C69" s="50" t="s">
        <v>39</v>
      </c>
      <c r="H69" s="67"/>
      <c r="I69" s="44">
        <v>824766.32893977349</v>
      </c>
      <c r="J69" s="82"/>
      <c r="K69" s="5"/>
      <c r="L69" s="44">
        <f t="shared" ref="L69" si="1">I69</f>
        <v>824766.32893977349</v>
      </c>
      <c r="M69" s="5"/>
      <c r="N69" s="5"/>
      <c r="O69" s="5"/>
      <c r="P69" s="5"/>
      <c r="Q69" s="5"/>
    </row>
    <row r="70" spans="1:17" x14ac:dyDescent="0.25">
      <c r="C70" s="50" t="s">
        <v>35</v>
      </c>
      <c r="I70" s="44">
        <v>4021065.4253083072</v>
      </c>
      <c r="J70" s="82"/>
      <c r="K70" s="5"/>
      <c r="L70" s="44">
        <f>I70</f>
        <v>4021065.4253083072</v>
      </c>
      <c r="M70" s="5"/>
      <c r="N70" s="5"/>
      <c r="O70" s="5"/>
      <c r="P70" s="5"/>
      <c r="Q70" s="5"/>
    </row>
    <row r="71" spans="1:17" x14ac:dyDescent="0.25">
      <c r="C71" s="50"/>
      <c r="I71" s="44"/>
      <c r="J71" s="82"/>
      <c r="K71" s="5"/>
      <c r="L71" s="44"/>
      <c r="M71" s="5"/>
      <c r="N71" s="5"/>
      <c r="O71" s="5"/>
      <c r="P71" s="5"/>
      <c r="Q71" s="5"/>
    </row>
    <row r="72" spans="1:17" x14ac:dyDescent="0.25">
      <c r="B72" s="39" t="s">
        <v>83</v>
      </c>
      <c r="I72" s="56"/>
      <c r="J72" s="56"/>
      <c r="K72" s="5"/>
      <c r="L72" s="56"/>
      <c r="M72" s="5"/>
      <c r="N72" s="58"/>
      <c r="O72" s="5"/>
      <c r="P72" s="5"/>
      <c r="Q72" s="5"/>
    </row>
    <row r="73" spans="1:17" x14ac:dyDescent="0.25">
      <c r="A73" s="6" t="s">
        <v>98</v>
      </c>
      <c r="B73" s="40"/>
      <c r="C73" s="17" t="s">
        <v>67</v>
      </c>
      <c r="E73" s="49">
        <v>0</v>
      </c>
      <c r="H73" s="45">
        <v>75</v>
      </c>
      <c r="I73" s="83">
        <f>E73*H73</f>
        <v>0</v>
      </c>
      <c r="J73" s="83"/>
      <c r="K73" s="45">
        <v>75</v>
      </c>
      <c r="L73" s="84">
        <f>E73*K73</f>
        <v>0</v>
      </c>
      <c r="M73" s="120"/>
      <c r="N73" s="58"/>
      <c r="O73" s="5"/>
      <c r="P73" s="5"/>
      <c r="Q73" s="5"/>
    </row>
    <row r="74" spans="1:17" x14ac:dyDescent="0.25">
      <c r="K74" s="5"/>
      <c r="L74" s="5"/>
      <c r="M74" s="5"/>
      <c r="N74" s="5"/>
      <c r="O74" s="5"/>
      <c r="P74" s="5"/>
      <c r="Q74" s="5"/>
    </row>
    <row r="75" spans="1:17" ht="16.5" thickBot="1" x14ac:dyDescent="0.3">
      <c r="B75" s="40"/>
      <c r="C75" s="40" t="s">
        <v>111</v>
      </c>
      <c r="I75" s="55">
        <f>I50+I66+SUM(I68:I70)+I73</f>
        <v>90494240.651483163</v>
      </c>
      <c r="J75" s="56"/>
      <c r="K75" s="5"/>
      <c r="L75" s="55">
        <f>L50+L66+SUM(L68:L70)+L73</f>
        <v>96197943.539010197</v>
      </c>
      <c r="M75" s="57"/>
      <c r="N75" s="58"/>
      <c r="O75" s="5"/>
      <c r="P75" s="5"/>
      <c r="Q75" s="5"/>
    </row>
    <row r="76" spans="1:17" ht="16.5" thickTop="1" x14ac:dyDescent="0.25">
      <c r="B76" s="40"/>
      <c r="I76" s="56"/>
      <c r="J76" s="56"/>
      <c r="K76" s="5"/>
      <c r="L76" s="5"/>
      <c r="M76" s="5"/>
      <c r="N76" s="58"/>
      <c r="O76" s="5"/>
      <c r="P76" s="5"/>
      <c r="Q76" s="5"/>
    </row>
    <row r="77" spans="1:17" x14ac:dyDescent="0.25">
      <c r="B77" s="40"/>
      <c r="C77" s="59" t="s">
        <v>81</v>
      </c>
      <c r="I77" s="56"/>
      <c r="J77" s="56"/>
      <c r="K77" s="5"/>
      <c r="L77" s="58">
        <f>L75-I75</f>
        <v>5703702.8875270337</v>
      </c>
      <c r="M77" s="60"/>
      <c r="N77" s="58"/>
      <c r="O77" s="5"/>
      <c r="P77" s="5"/>
      <c r="Q77" s="5"/>
    </row>
    <row r="78" spans="1:17" x14ac:dyDescent="0.25">
      <c r="B78" s="40"/>
      <c r="I78" s="56"/>
      <c r="J78" s="56"/>
      <c r="K78" s="5"/>
      <c r="L78" s="61">
        <f>L77/I75</f>
        <v>6.3028352373202132E-2</v>
      </c>
      <c r="M78" s="61"/>
      <c r="N78" s="58"/>
      <c r="O78" s="5"/>
      <c r="P78" s="5"/>
      <c r="Q78" s="5"/>
    </row>
    <row r="79" spans="1:17" x14ac:dyDescent="0.25">
      <c r="B79" s="40"/>
      <c r="I79" s="56"/>
      <c r="J79" s="56"/>
      <c r="K79" s="5"/>
      <c r="L79" s="126"/>
      <c r="M79" s="5"/>
      <c r="N79" s="58"/>
      <c r="O79" s="5"/>
      <c r="P79" s="5"/>
      <c r="Q79" s="5"/>
    </row>
    <row r="80" spans="1:17" x14ac:dyDescent="0.25">
      <c r="B80" s="39" t="s">
        <v>18</v>
      </c>
      <c r="D80" s="40"/>
      <c r="E80" s="25"/>
      <c r="F80" s="25"/>
      <c r="K80" s="58"/>
      <c r="L80" s="58"/>
      <c r="M80" s="5"/>
      <c r="N80" s="5"/>
      <c r="O80" s="5"/>
      <c r="P80" s="5"/>
      <c r="Q80" s="5"/>
    </row>
    <row r="81" spans="1:17" x14ac:dyDescent="0.25">
      <c r="B81" s="40"/>
      <c r="D81" s="40"/>
      <c r="E81" s="25"/>
      <c r="F81" s="25"/>
      <c r="K81" s="58"/>
      <c r="L81" s="58"/>
      <c r="M81" s="5"/>
      <c r="N81" s="5"/>
      <c r="O81" s="5"/>
      <c r="P81" s="5"/>
      <c r="Q81" s="5"/>
    </row>
    <row r="82" spans="1:17" x14ac:dyDescent="0.25">
      <c r="A82" s="6" t="s">
        <v>3</v>
      </c>
      <c r="B82" s="40" t="s">
        <v>144</v>
      </c>
      <c r="K82" s="5"/>
      <c r="L82" s="5"/>
      <c r="M82" s="5"/>
      <c r="N82" s="5"/>
      <c r="O82" s="5"/>
      <c r="P82" s="5"/>
      <c r="Q82" s="5"/>
    </row>
    <row r="83" spans="1:17" x14ac:dyDescent="0.25">
      <c r="B83" s="40"/>
      <c r="C83" s="62" t="s">
        <v>117</v>
      </c>
      <c r="K83" s="5"/>
      <c r="L83" s="44"/>
      <c r="M83" s="5"/>
      <c r="N83" s="5"/>
      <c r="O83" s="5"/>
      <c r="P83" s="5"/>
      <c r="Q83" s="5"/>
    </row>
    <row r="84" spans="1:17" x14ac:dyDescent="0.25">
      <c r="B84" s="63"/>
      <c r="C84" s="59" t="s">
        <v>134</v>
      </c>
      <c r="E84" s="49">
        <v>1602</v>
      </c>
      <c r="H84" s="45">
        <v>165</v>
      </c>
      <c r="I84" s="44">
        <f>+E84*H84</f>
        <v>264330</v>
      </c>
      <c r="J84" s="44"/>
      <c r="K84" s="45"/>
      <c r="L84" s="44"/>
      <c r="M84" s="5"/>
      <c r="N84" s="5"/>
      <c r="O84" s="57"/>
      <c r="P84" s="64"/>
      <c r="Q84" s="5"/>
    </row>
    <row r="85" spans="1:17" x14ac:dyDescent="0.25">
      <c r="B85" s="63"/>
      <c r="C85" s="59" t="s">
        <v>135</v>
      </c>
      <c r="E85" s="49">
        <v>1344</v>
      </c>
      <c r="H85" s="45">
        <v>750</v>
      </c>
      <c r="I85" s="44">
        <f>+E85*H85</f>
        <v>1008000</v>
      </c>
      <c r="J85" s="44"/>
      <c r="K85" s="45"/>
      <c r="L85" s="44"/>
      <c r="M85" s="5"/>
      <c r="N85" s="5"/>
      <c r="O85" s="57"/>
      <c r="P85" s="57"/>
      <c r="Q85" s="5"/>
    </row>
    <row r="86" spans="1:17" x14ac:dyDescent="0.25">
      <c r="B86" s="63"/>
      <c r="C86" s="59" t="s">
        <v>136</v>
      </c>
      <c r="E86" s="49">
        <v>48760.875</v>
      </c>
      <c r="H86" s="45"/>
      <c r="I86" s="44"/>
      <c r="J86" s="44"/>
      <c r="K86" s="45">
        <f>ROUND(H84/(365.25/12),2)</f>
        <v>5.42</v>
      </c>
      <c r="L86" s="44">
        <f>E86*K86</f>
        <v>264283.9425</v>
      </c>
      <c r="M86" s="79"/>
      <c r="N86" s="5"/>
      <c r="O86" s="57"/>
      <c r="P86" s="57"/>
      <c r="Q86" s="5"/>
    </row>
    <row r="87" spans="1:17" x14ac:dyDescent="0.25">
      <c r="B87" s="63"/>
      <c r="C87" s="59" t="s">
        <v>137</v>
      </c>
      <c r="E87" s="49">
        <v>40908</v>
      </c>
      <c r="H87" s="45"/>
      <c r="I87" s="44"/>
      <c r="J87" s="44"/>
      <c r="K87" s="45">
        <f>ROUND(H85/(365.25/12),2)</f>
        <v>24.64</v>
      </c>
      <c r="L87" s="44">
        <f>E87*K87</f>
        <v>1007973.12</v>
      </c>
      <c r="M87" s="79"/>
      <c r="N87" s="5"/>
      <c r="O87" s="57"/>
      <c r="P87" s="57"/>
      <c r="Q87" s="5"/>
    </row>
    <row r="88" spans="1:17" x14ac:dyDescent="0.25">
      <c r="C88" s="66" t="s">
        <v>106</v>
      </c>
      <c r="H88" s="67"/>
      <c r="K88" s="5"/>
      <c r="L88" s="86"/>
      <c r="M88" s="69"/>
      <c r="N88" s="5"/>
      <c r="O88" s="60"/>
      <c r="P88" s="5"/>
      <c r="Q88" s="5"/>
    </row>
    <row r="89" spans="1:17" x14ac:dyDescent="0.25">
      <c r="C89" s="17" t="s">
        <v>108</v>
      </c>
      <c r="F89" s="199">
        <v>1278359.2158810482</v>
      </c>
      <c r="H89" s="47">
        <v>2.1929000000000003</v>
      </c>
      <c r="I89" s="72">
        <f>+F89*H89</f>
        <v>2803313.9245055509</v>
      </c>
      <c r="J89" s="72"/>
      <c r="K89" s="47">
        <v>2.1928999999999998</v>
      </c>
      <c r="L89" s="44">
        <f>F89*K89</f>
        <v>2803313.9245055504</v>
      </c>
      <c r="M89" s="5"/>
      <c r="N89" s="5"/>
      <c r="O89" s="5"/>
      <c r="P89" s="5"/>
      <c r="Q89" s="5"/>
    </row>
    <row r="90" spans="1:17" x14ac:dyDescent="0.25">
      <c r="C90" s="73" t="s">
        <v>109</v>
      </c>
      <c r="D90" s="41"/>
      <c r="F90" s="91"/>
      <c r="G90" s="82">
        <v>164954.17974986261</v>
      </c>
      <c r="H90" s="47">
        <v>1.6928999999999998</v>
      </c>
      <c r="I90" s="74">
        <f>+H90*G90</f>
        <v>279250.9308985424</v>
      </c>
      <c r="J90" s="72"/>
      <c r="K90" s="47">
        <f>K89+(H90-H89)</f>
        <v>1.6928999999999994</v>
      </c>
      <c r="L90" s="48">
        <f>G90*K90</f>
        <v>279250.93089854234</v>
      </c>
      <c r="M90" s="5"/>
      <c r="N90" s="5"/>
      <c r="O90" s="5"/>
      <c r="P90" s="5"/>
      <c r="Q90" s="5"/>
    </row>
    <row r="91" spans="1:17" x14ac:dyDescent="0.25">
      <c r="C91" s="40" t="s">
        <v>25</v>
      </c>
      <c r="F91" s="91"/>
      <c r="G91" s="53"/>
      <c r="I91" s="87">
        <f>SUM(I84:I90)</f>
        <v>4354894.8554040929</v>
      </c>
      <c r="J91" s="87"/>
      <c r="K91" s="5"/>
      <c r="L91" s="87">
        <f>SUM(L84:L90)</f>
        <v>4354821.9179040929</v>
      </c>
      <c r="M91" s="5"/>
      <c r="N91" s="5"/>
      <c r="O91" s="5"/>
      <c r="P91" s="5"/>
      <c r="Q91" s="5"/>
    </row>
    <row r="92" spans="1:17" x14ac:dyDescent="0.25">
      <c r="C92" s="40"/>
      <c r="F92" s="91"/>
      <c r="G92" s="53"/>
      <c r="I92" s="87"/>
      <c r="J92" s="87"/>
      <c r="K92" s="5"/>
      <c r="L92" s="87"/>
      <c r="M92" s="5"/>
      <c r="N92" s="5"/>
      <c r="O92" s="5"/>
      <c r="P92" s="5"/>
      <c r="Q92" s="5"/>
    </row>
    <row r="93" spans="1:17" x14ac:dyDescent="0.25">
      <c r="C93" s="40" t="s">
        <v>87</v>
      </c>
      <c r="F93" s="91"/>
      <c r="G93" s="53" t="s">
        <v>107</v>
      </c>
      <c r="H93" s="51">
        <v>1</v>
      </c>
      <c r="I93" s="87">
        <f>I91/H93</f>
        <v>4354894.8554040929</v>
      </c>
      <c r="J93" s="87"/>
      <c r="K93" s="75">
        <f>H93</f>
        <v>1</v>
      </c>
      <c r="L93" s="87">
        <f>L91/K93</f>
        <v>4354821.9179040929</v>
      </c>
      <c r="M93" s="5"/>
      <c r="N93" s="5"/>
      <c r="O93" s="5"/>
      <c r="P93" s="5"/>
      <c r="Q93" s="5"/>
    </row>
    <row r="94" spans="1:17" x14ac:dyDescent="0.25">
      <c r="F94" s="91"/>
      <c r="G94" s="53"/>
      <c r="I94" s="88"/>
      <c r="J94" s="88"/>
      <c r="K94" s="5"/>
      <c r="L94" s="5"/>
      <c r="M94" s="5"/>
      <c r="N94" s="5"/>
      <c r="O94" s="5"/>
      <c r="P94" s="5"/>
      <c r="Q94" s="5"/>
    </row>
    <row r="95" spans="1:17" x14ac:dyDescent="0.25">
      <c r="A95" s="89" t="s">
        <v>88</v>
      </c>
      <c r="B95" s="36" t="s">
        <v>145</v>
      </c>
      <c r="F95" s="91"/>
      <c r="G95" s="53"/>
      <c r="I95" s="90"/>
      <c r="J95" s="90"/>
      <c r="K95" s="5"/>
      <c r="L95" s="5"/>
      <c r="M95" s="5"/>
      <c r="N95" s="5"/>
      <c r="O95" s="5"/>
      <c r="P95" s="5"/>
      <c r="Q95" s="5"/>
    </row>
    <row r="96" spans="1:17" x14ac:dyDescent="0.25">
      <c r="C96" s="17" t="s">
        <v>17</v>
      </c>
      <c r="E96" s="49">
        <v>60</v>
      </c>
      <c r="F96" s="91"/>
      <c r="H96" s="45">
        <v>550</v>
      </c>
      <c r="I96" s="84">
        <f>E96*H96</f>
        <v>33000</v>
      </c>
      <c r="J96" s="84"/>
      <c r="K96" s="45">
        <v>550</v>
      </c>
      <c r="L96" s="84">
        <f>E96*K96</f>
        <v>33000</v>
      </c>
      <c r="M96" s="5"/>
      <c r="N96" s="5"/>
      <c r="O96" s="5"/>
      <c r="P96" s="5"/>
      <c r="Q96" s="5"/>
    </row>
    <row r="97" spans="3:17" x14ac:dyDescent="0.25">
      <c r="C97" s="62" t="s">
        <v>117</v>
      </c>
      <c r="E97" s="49"/>
      <c r="F97" s="91"/>
      <c r="H97" s="45"/>
      <c r="I97" s="84"/>
      <c r="J97" s="84"/>
      <c r="K97" s="45"/>
      <c r="L97" s="84"/>
      <c r="M97" s="5"/>
      <c r="N97" s="5"/>
      <c r="O97" s="5"/>
      <c r="P97" s="5"/>
      <c r="Q97" s="5"/>
    </row>
    <row r="98" spans="3:17" x14ac:dyDescent="0.25">
      <c r="C98" s="59" t="s">
        <v>134</v>
      </c>
      <c r="E98" s="49">
        <v>0</v>
      </c>
      <c r="F98" s="91"/>
      <c r="H98" s="45">
        <v>165</v>
      </c>
      <c r="I98" s="44">
        <f>+E98*H98</f>
        <v>0</v>
      </c>
      <c r="J98" s="84"/>
      <c r="K98" s="45"/>
      <c r="L98" s="84"/>
      <c r="M98" s="5"/>
      <c r="N98" s="5"/>
      <c r="O98" s="5"/>
      <c r="P98" s="5"/>
      <c r="Q98" s="5"/>
    </row>
    <row r="99" spans="3:17" x14ac:dyDescent="0.25">
      <c r="C99" s="59" t="s">
        <v>135</v>
      </c>
      <c r="E99" s="49">
        <v>60</v>
      </c>
      <c r="F99" s="91"/>
      <c r="H99" s="45">
        <v>750</v>
      </c>
      <c r="I99" s="44">
        <f>+E99*H99</f>
        <v>45000</v>
      </c>
      <c r="J99" s="84"/>
      <c r="K99" s="45"/>
      <c r="L99" s="84"/>
      <c r="M99" s="5"/>
      <c r="N99" s="5"/>
      <c r="O99" s="5"/>
      <c r="P99" s="5"/>
      <c r="Q99" s="5"/>
    </row>
    <row r="100" spans="3:17" x14ac:dyDescent="0.25">
      <c r="C100" s="59" t="s">
        <v>136</v>
      </c>
      <c r="E100" s="49">
        <v>0</v>
      </c>
      <c r="F100" s="91"/>
      <c r="H100" s="45"/>
      <c r="I100" s="44"/>
      <c r="J100" s="84"/>
      <c r="K100" s="45">
        <f>K86</f>
        <v>5.42</v>
      </c>
      <c r="L100" s="84">
        <f>E100*K100</f>
        <v>0</v>
      </c>
      <c r="M100" s="5"/>
      <c r="N100" s="5"/>
      <c r="O100" s="5"/>
      <c r="P100" s="5"/>
      <c r="Q100" s="5"/>
    </row>
    <row r="101" spans="3:17" x14ac:dyDescent="0.25">
      <c r="C101" s="59" t="s">
        <v>137</v>
      </c>
      <c r="E101" s="49">
        <v>1826.25</v>
      </c>
      <c r="F101" s="91"/>
      <c r="H101" s="45"/>
      <c r="I101" s="44"/>
      <c r="J101" s="84"/>
      <c r="K101" s="45">
        <f>K87</f>
        <v>24.64</v>
      </c>
      <c r="L101" s="84">
        <f>E101*K101</f>
        <v>44998.8</v>
      </c>
      <c r="M101" s="5"/>
      <c r="N101" s="5"/>
      <c r="O101" s="5"/>
      <c r="P101" s="5"/>
      <c r="Q101" s="5"/>
    </row>
    <row r="102" spans="3:17" x14ac:dyDescent="0.25">
      <c r="C102" s="66" t="s">
        <v>106</v>
      </c>
      <c r="E102" s="49"/>
      <c r="F102" s="91"/>
      <c r="H102" s="45"/>
      <c r="J102" s="84"/>
      <c r="K102" s="45"/>
      <c r="L102" s="84"/>
      <c r="M102" s="5"/>
      <c r="N102" s="5"/>
      <c r="O102" s="5"/>
      <c r="P102" s="5"/>
      <c r="Q102" s="5"/>
    </row>
    <row r="103" spans="3:17" x14ac:dyDescent="0.25">
      <c r="C103" s="17" t="s">
        <v>108</v>
      </c>
      <c r="E103" s="49"/>
      <c r="F103" s="199">
        <v>115657.89837235236</v>
      </c>
      <c r="H103" s="47">
        <v>2.1929000000000003</v>
      </c>
      <c r="I103" s="72">
        <f>+F103*H103</f>
        <v>253626.20534073151</v>
      </c>
      <c r="J103" s="84"/>
      <c r="K103" s="47">
        <v>2.1928999999999998</v>
      </c>
      <c r="L103" s="84">
        <f>F103*K103</f>
        <v>253626.20534073145</v>
      </c>
      <c r="M103" s="5"/>
      <c r="N103" s="5"/>
      <c r="O103" s="5"/>
      <c r="P103" s="5"/>
      <c r="Q103" s="5"/>
    </row>
    <row r="104" spans="3:17" x14ac:dyDescent="0.25">
      <c r="C104" s="73" t="s">
        <v>109</v>
      </c>
      <c r="E104" s="49"/>
      <c r="F104" s="91"/>
      <c r="G104" s="91">
        <v>234694.02259415333</v>
      </c>
      <c r="H104" s="47">
        <v>1.6928999999999998</v>
      </c>
      <c r="I104" s="74">
        <f>+H104*G104</f>
        <v>397313.51084964216</v>
      </c>
      <c r="J104" s="84"/>
      <c r="K104" s="47">
        <v>1.6929000000000001</v>
      </c>
      <c r="L104" s="74">
        <f>G104*K104</f>
        <v>397313.51084964216</v>
      </c>
      <c r="M104" s="5"/>
      <c r="N104" s="5"/>
      <c r="O104" s="5"/>
      <c r="P104" s="5"/>
      <c r="Q104" s="5"/>
    </row>
    <row r="105" spans="3:17" x14ac:dyDescent="0.25">
      <c r="C105" s="40" t="s">
        <v>25</v>
      </c>
      <c r="H105" s="92"/>
      <c r="I105" s="87">
        <f>SUM(I96:I104)</f>
        <v>728939.71619037376</v>
      </c>
      <c r="J105" s="93"/>
      <c r="K105" s="5"/>
      <c r="L105" s="87">
        <f>SUM(L96:L104)</f>
        <v>728938.51619037357</v>
      </c>
      <c r="M105" s="5"/>
      <c r="N105" s="5"/>
      <c r="O105" s="5"/>
      <c r="P105" s="5"/>
      <c r="Q105" s="5"/>
    </row>
    <row r="106" spans="3:17" x14ac:dyDescent="0.25">
      <c r="C106" s="40"/>
      <c r="H106" s="92"/>
      <c r="I106" s="93"/>
      <c r="J106" s="93"/>
      <c r="K106" s="5"/>
      <c r="L106" s="93"/>
      <c r="M106" s="5"/>
      <c r="N106" s="5"/>
      <c r="O106" s="5"/>
      <c r="P106" s="5"/>
      <c r="Q106" s="5"/>
    </row>
    <row r="107" spans="3:17" x14ac:dyDescent="0.25">
      <c r="C107" s="40" t="s">
        <v>87</v>
      </c>
      <c r="G107" s="24" t="s">
        <v>107</v>
      </c>
      <c r="H107" s="51">
        <v>1</v>
      </c>
      <c r="I107" s="93">
        <f>I105/H107</f>
        <v>728939.71619037376</v>
      </c>
      <c r="J107" s="93"/>
      <c r="K107" s="75">
        <f>H107</f>
        <v>1</v>
      </c>
      <c r="L107" s="93">
        <f>L105/K107</f>
        <v>728938.51619037357</v>
      </c>
      <c r="M107" s="5"/>
      <c r="N107" s="5"/>
      <c r="O107" s="5"/>
      <c r="P107" s="5"/>
      <c r="Q107" s="5"/>
    </row>
    <row r="108" spans="3:17" x14ac:dyDescent="0.25">
      <c r="H108" s="92"/>
      <c r="I108" s="94"/>
      <c r="J108" s="94"/>
      <c r="K108" s="5"/>
      <c r="L108" s="84"/>
      <c r="M108" s="5"/>
      <c r="N108" s="5"/>
      <c r="O108" s="5"/>
      <c r="P108" s="5"/>
      <c r="Q108" s="5"/>
    </row>
    <row r="109" spans="3:17" x14ac:dyDescent="0.25">
      <c r="C109" s="50" t="s">
        <v>38</v>
      </c>
      <c r="H109" s="92"/>
      <c r="I109" s="44">
        <v>5367345.912275007</v>
      </c>
      <c r="J109" s="95"/>
      <c r="K109" s="5"/>
      <c r="L109" s="84">
        <f>I109</f>
        <v>5367345.912275007</v>
      </c>
      <c r="M109" s="5"/>
      <c r="N109" s="5"/>
      <c r="O109" s="5"/>
      <c r="P109" s="5"/>
      <c r="Q109" s="5"/>
    </row>
    <row r="110" spans="3:17" x14ac:dyDescent="0.25">
      <c r="C110" s="50" t="s">
        <v>39</v>
      </c>
      <c r="H110" s="92"/>
      <c r="I110" s="44">
        <v>0</v>
      </c>
      <c r="J110" s="82"/>
      <c r="K110" s="5"/>
      <c r="L110" s="84">
        <f>I110</f>
        <v>0</v>
      </c>
      <c r="M110" s="5"/>
      <c r="N110" s="5"/>
      <c r="O110" s="5"/>
      <c r="P110" s="5"/>
      <c r="Q110" s="5"/>
    </row>
    <row r="111" spans="3:17" x14ac:dyDescent="0.25">
      <c r="C111" s="50" t="s">
        <v>35</v>
      </c>
      <c r="I111" s="44">
        <v>514378.39326577989</v>
      </c>
      <c r="K111" s="5"/>
      <c r="L111" s="58">
        <f>I111</f>
        <v>514378.39326577989</v>
      </c>
      <c r="M111" s="5"/>
      <c r="N111" s="5"/>
      <c r="O111" s="5"/>
      <c r="P111" s="5"/>
      <c r="Q111" s="5"/>
    </row>
    <row r="112" spans="3:17" x14ac:dyDescent="0.25">
      <c r="C112" s="50"/>
      <c r="K112" s="5"/>
      <c r="L112" s="5"/>
      <c r="M112" s="5"/>
      <c r="N112" s="5"/>
      <c r="O112" s="5"/>
      <c r="P112" s="5"/>
      <c r="Q112" s="5"/>
    </row>
    <row r="113" spans="1:17" x14ac:dyDescent="0.25">
      <c r="A113" s="96" t="s">
        <v>100</v>
      </c>
      <c r="B113" s="36" t="s">
        <v>83</v>
      </c>
      <c r="C113" s="90"/>
      <c r="I113" s="56"/>
      <c r="J113" s="56"/>
      <c r="K113" s="5"/>
      <c r="L113" s="56"/>
      <c r="M113" s="5"/>
      <c r="N113" s="58"/>
      <c r="O113" s="5"/>
      <c r="P113" s="5"/>
      <c r="Q113" s="5"/>
    </row>
    <row r="114" spans="1:17" x14ac:dyDescent="0.25">
      <c r="B114" s="40"/>
      <c r="C114" s="17" t="s">
        <v>67</v>
      </c>
      <c r="E114" s="49">
        <v>24</v>
      </c>
      <c r="H114" s="45">
        <v>75</v>
      </c>
      <c r="I114" s="83">
        <f>E114*H114</f>
        <v>1800</v>
      </c>
      <c r="J114" s="83"/>
      <c r="K114" s="45">
        <v>75</v>
      </c>
      <c r="L114" s="84">
        <f>E114*K114</f>
        <v>1800</v>
      </c>
      <c r="M114" s="5"/>
      <c r="N114" s="58"/>
      <c r="O114" s="5"/>
      <c r="P114" s="5"/>
      <c r="Q114" s="5"/>
    </row>
    <row r="115" spans="1:17" x14ac:dyDescent="0.25">
      <c r="C115" s="50"/>
      <c r="K115" s="5"/>
      <c r="L115" s="5"/>
      <c r="M115" s="5"/>
      <c r="N115" s="5"/>
      <c r="O115" s="5"/>
      <c r="P115" s="5"/>
      <c r="Q115" s="5"/>
    </row>
    <row r="116" spans="1:17" ht="16.5" thickBot="1" x14ac:dyDescent="0.3">
      <c r="B116" s="40" t="s">
        <v>19</v>
      </c>
      <c r="I116" s="55">
        <f>I93+I107+SUM(I109:I111)+I114</f>
        <v>10967358.877135254</v>
      </c>
      <c r="J116" s="56"/>
      <c r="K116" s="5"/>
      <c r="L116" s="55">
        <f>L93+L107+SUM(L109:L111)+L114</f>
        <v>10967284.739635253</v>
      </c>
      <c r="M116" s="5"/>
      <c r="N116" s="58"/>
      <c r="O116" s="5"/>
      <c r="P116" s="5"/>
      <c r="Q116" s="5"/>
    </row>
    <row r="117" spans="1:17" ht="16.5" thickTop="1" x14ac:dyDescent="0.25">
      <c r="B117" s="40"/>
      <c r="I117" s="56"/>
      <c r="J117" s="56"/>
      <c r="K117" s="5"/>
      <c r="L117" s="56"/>
      <c r="M117" s="5"/>
      <c r="N117" s="58"/>
      <c r="O117" s="5"/>
      <c r="P117" s="5"/>
      <c r="Q117" s="5"/>
    </row>
    <row r="118" spans="1:17" x14ac:dyDescent="0.25">
      <c r="B118" s="40"/>
      <c r="C118" s="59" t="s">
        <v>81</v>
      </c>
      <c r="I118" s="56"/>
      <c r="J118" s="56"/>
      <c r="K118" s="5"/>
      <c r="L118" s="97">
        <f>L116-I116</f>
        <v>-74.137500001117587</v>
      </c>
      <c r="M118" s="5"/>
      <c r="N118" s="58"/>
      <c r="O118" s="5"/>
      <c r="P118" s="5"/>
      <c r="Q118" s="5"/>
    </row>
    <row r="119" spans="1:17" x14ac:dyDescent="0.25">
      <c r="B119" s="40"/>
      <c r="I119" s="56"/>
      <c r="J119" s="56"/>
      <c r="K119" s="5"/>
      <c r="L119" s="61">
        <f>L118/I116</f>
        <v>-6.7598316815983306E-6</v>
      </c>
      <c r="M119" s="5"/>
      <c r="N119" s="58"/>
      <c r="O119" s="5"/>
      <c r="P119" s="5"/>
      <c r="Q119" s="5"/>
    </row>
    <row r="120" spans="1:17" x14ac:dyDescent="0.25">
      <c r="K120" s="5"/>
      <c r="L120" s="126"/>
      <c r="M120" s="5"/>
      <c r="N120" s="5"/>
      <c r="O120" s="5"/>
      <c r="P120" s="5"/>
      <c r="Q120" s="5"/>
    </row>
    <row r="121" spans="1:17" x14ac:dyDescent="0.25">
      <c r="B121" s="98" t="s">
        <v>122</v>
      </c>
      <c r="K121" s="5"/>
      <c r="L121" s="5"/>
      <c r="M121" s="5"/>
      <c r="N121" s="5"/>
      <c r="O121" s="5"/>
      <c r="P121" s="5"/>
      <c r="Q121" s="5"/>
    </row>
    <row r="122" spans="1:17" x14ac:dyDescent="0.25">
      <c r="K122" s="5"/>
      <c r="L122" s="5"/>
      <c r="M122" s="5"/>
      <c r="N122" s="5"/>
      <c r="O122" s="5"/>
      <c r="P122" s="5"/>
      <c r="Q122" s="5"/>
    </row>
    <row r="123" spans="1:17" x14ac:dyDescent="0.25">
      <c r="A123" s="6" t="s">
        <v>22</v>
      </c>
      <c r="B123" s="99" t="s">
        <v>146</v>
      </c>
      <c r="K123" s="5"/>
      <c r="L123" s="5"/>
      <c r="M123" s="5"/>
      <c r="N123" s="5"/>
      <c r="O123" s="5"/>
      <c r="P123" s="5"/>
      <c r="Q123" s="5"/>
    </row>
    <row r="124" spans="1:17" x14ac:dyDescent="0.25">
      <c r="A124" s="89"/>
      <c r="C124" s="62" t="s">
        <v>117</v>
      </c>
      <c r="E124" s="49"/>
      <c r="K124" s="5"/>
      <c r="L124" s="72"/>
      <c r="M124" s="5"/>
      <c r="N124" s="5"/>
      <c r="O124" s="5"/>
      <c r="P124" s="5"/>
      <c r="Q124" s="5"/>
    </row>
    <row r="125" spans="1:17" x14ac:dyDescent="0.25">
      <c r="C125" s="17" t="s">
        <v>132</v>
      </c>
      <c r="E125" s="24">
        <v>48</v>
      </c>
      <c r="H125" s="45">
        <v>500</v>
      </c>
      <c r="I125" s="72">
        <f>E125*H125</f>
        <v>24000</v>
      </c>
      <c r="J125" s="72"/>
      <c r="K125" s="45">
        <v>500</v>
      </c>
      <c r="L125" s="72">
        <f>E125*K125</f>
        <v>24000</v>
      </c>
      <c r="M125" s="5"/>
      <c r="N125" s="5"/>
      <c r="O125" s="5"/>
      <c r="P125" s="5"/>
      <c r="Q125" s="5"/>
    </row>
    <row r="126" spans="1:17" x14ac:dyDescent="0.25">
      <c r="C126" s="73" t="s">
        <v>0</v>
      </c>
      <c r="F126" s="49">
        <v>146050.7309915339</v>
      </c>
      <c r="H126" s="47">
        <v>1.0644</v>
      </c>
      <c r="I126" s="74">
        <f>+F126*H126</f>
        <v>155456.39806738868</v>
      </c>
      <c r="J126" s="72"/>
      <c r="K126" s="47">
        <v>1.0644</v>
      </c>
      <c r="L126" s="74">
        <f>F126*K126</f>
        <v>155456.39806738868</v>
      </c>
      <c r="M126" s="5"/>
      <c r="N126" s="5"/>
      <c r="O126" s="5"/>
      <c r="P126" s="5"/>
      <c r="Q126" s="5"/>
    </row>
    <row r="127" spans="1:17" x14ac:dyDescent="0.25">
      <c r="C127" s="40" t="s">
        <v>25</v>
      </c>
      <c r="I127" s="87">
        <f>SUM(I125:I126)</f>
        <v>179456.39806738868</v>
      </c>
      <c r="J127" s="87"/>
      <c r="K127" s="5"/>
      <c r="L127" s="87">
        <f>SUM(L125:L126)</f>
        <v>179456.39806738868</v>
      </c>
      <c r="M127" s="5"/>
      <c r="N127" s="5"/>
      <c r="O127" s="5"/>
      <c r="P127" s="5"/>
      <c r="Q127" s="5"/>
    </row>
    <row r="128" spans="1:17" x14ac:dyDescent="0.25">
      <c r="C128" s="40"/>
      <c r="I128" s="87"/>
      <c r="J128" s="87"/>
      <c r="K128" s="5"/>
      <c r="L128" s="87"/>
      <c r="M128" s="5"/>
      <c r="N128" s="5"/>
      <c r="O128" s="5"/>
      <c r="P128" s="5"/>
      <c r="Q128" s="5"/>
    </row>
    <row r="129" spans="1:17" x14ac:dyDescent="0.25">
      <c r="C129" s="40" t="s">
        <v>87</v>
      </c>
      <c r="G129" s="24" t="s">
        <v>107</v>
      </c>
      <c r="H129" s="51">
        <v>1</v>
      </c>
      <c r="I129" s="87">
        <f>I127/H129</f>
        <v>179456.39806738868</v>
      </c>
      <c r="J129" s="87"/>
      <c r="K129" s="75">
        <f>H129</f>
        <v>1</v>
      </c>
      <c r="L129" s="87">
        <f>L127/K129</f>
        <v>179456.39806738868</v>
      </c>
      <c r="M129" s="5"/>
      <c r="N129" s="5"/>
      <c r="O129" s="5"/>
      <c r="P129" s="5"/>
      <c r="Q129" s="5"/>
    </row>
    <row r="130" spans="1:17" x14ac:dyDescent="0.25">
      <c r="I130" s="90"/>
      <c r="J130" s="90"/>
      <c r="K130" s="5"/>
      <c r="L130" s="72"/>
      <c r="M130" s="5"/>
      <c r="N130" s="5"/>
      <c r="O130" s="5"/>
      <c r="P130" s="5"/>
      <c r="Q130" s="5"/>
    </row>
    <row r="131" spans="1:17" x14ac:dyDescent="0.25">
      <c r="A131" s="6" t="s">
        <v>59</v>
      </c>
      <c r="B131" s="36" t="s">
        <v>147</v>
      </c>
      <c r="K131" s="5"/>
      <c r="L131" s="72"/>
      <c r="M131" s="5"/>
      <c r="N131" s="5"/>
      <c r="O131" s="5"/>
      <c r="P131" s="5"/>
      <c r="Q131" s="5"/>
    </row>
    <row r="132" spans="1:17" x14ac:dyDescent="0.25">
      <c r="B132" s="36"/>
      <c r="C132" s="17" t="s">
        <v>26</v>
      </c>
      <c r="E132" s="24">
        <v>12</v>
      </c>
      <c r="H132" s="45">
        <v>550</v>
      </c>
      <c r="I132" s="44">
        <f>E132*H132</f>
        <v>6600</v>
      </c>
      <c r="J132" s="44"/>
      <c r="K132" s="45">
        <v>550</v>
      </c>
      <c r="L132" s="72">
        <f>E132*K132</f>
        <v>6600</v>
      </c>
      <c r="M132" s="5"/>
      <c r="N132" s="5"/>
      <c r="O132" s="5"/>
      <c r="P132" s="5"/>
      <c r="Q132" s="5"/>
    </row>
    <row r="133" spans="1:17" x14ac:dyDescent="0.25">
      <c r="B133" s="36"/>
      <c r="C133" s="62" t="s">
        <v>117</v>
      </c>
      <c r="H133" s="45"/>
      <c r="I133" s="44"/>
      <c r="J133" s="44"/>
      <c r="K133" s="45"/>
      <c r="L133" s="72"/>
      <c r="M133" s="5"/>
      <c r="N133" s="5"/>
      <c r="O133" s="5"/>
      <c r="P133" s="5"/>
      <c r="Q133" s="5"/>
    </row>
    <row r="134" spans="1:17" x14ac:dyDescent="0.25">
      <c r="B134" s="36"/>
      <c r="C134" s="17" t="s">
        <v>132</v>
      </c>
      <c r="E134" s="24">
        <v>12</v>
      </c>
      <c r="H134" s="45">
        <v>500</v>
      </c>
      <c r="I134" s="44">
        <f>E134*H134</f>
        <v>6000</v>
      </c>
      <c r="J134" s="44"/>
      <c r="K134" s="45">
        <v>500</v>
      </c>
      <c r="L134" s="72">
        <f>E134*K134</f>
        <v>6000</v>
      </c>
      <c r="M134" s="5"/>
      <c r="N134" s="5"/>
      <c r="O134" s="5"/>
      <c r="P134" s="5"/>
      <c r="Q134" s="5"/>
    </row>
    <row r="135" spans="1:17" x14ac:dyDescent="0.25">
      <c r="B135" s="36"/>
      <c r="C135" s="73" t="s">
        <v>0</v>
      </c>
      <c r="F135" s="49">
        <v>69850.904006060024</v>
      </c>
      <c r="H135" s="47">
        <v>1.0644</v>
      </c>
      <c r="I135" s="48">
        <f>F135*H135</f>
        <v>74349.302224050291</v>
      </c>
      <c r="J135" s="44"/>
      <c r="K135" s="47">
        <v>1.0644</v>
      </c>
      <c r="L135" s="74">
        <f>F135*K135</f>
        <v>74349.302224050291</v>
      </c>
      <c r="M135" s="5"/>
      <c r="N135" s="5"/>
      <c r="O135" s="5"/>
      <c r="P135" s="5"/>
      <c r="Q135" s="5"/>
    </row>
    <row r="136" spans="1:17" x14ac:dyDescent="0.25">
      <c r="B136" s="36"/>
      <c r="C136" s="40" t="s">
        <v>25</v>
      </c>
      <c r="H136" s="45"/>
      <c r="I136" s="52">
        <f>SUM(I132:I135)</f>
        <v>86949.302224050291</v>
      </c>
      <c r="J136" s="44"/>
      <c r="K136" s="45"/>
      <c r="L136" s="52">
        <f>SUM(L132:L135)</f>
        <v>86949.302224050291</v>
      </c>
      <c r="M136" s="5"/>
      <c r="N136" s="5"/>
      <c r="O136" s="5"/>
      <c r="P136" s="5"/>
      <c r="Q136" s="5"/>
    </row>
    <row r="137" spans="1:17" x14ac:dyDescent="0.25">
      <c r="B137" s="36"/>
      <c r="H137" s="45"/>
      <c r="I137" s="44"/>
      <c r="J137" s="44"/>
      <c r="K137" s="45"/>
      <c r="L137" s="72"/>
      <c r="M137" s="5"/>
      <c r="N137" s="5"/>
      <c r="O137" s="5"/>
      <c r="P137" s="5"/>
      <c r="Q137" s="5"/>
    </row>
    <row r="138" spans="1:17" x14ac:dyDescent="0.25">
      <c r="B138" s="36"/>
      <c r="C138" s="40" t="s">
        <v>87</v>
      </c>
      <c r="D138" s="90"/>
      <c r="E138" s="100"/>
      <c r="F138" s="49"/>
      <c r="G138" s="41" t="s">
        <v>107</v>
      </c>
      <c r="H138" s="51">
        <v>1</v>
      </c>
      <c r="I138" s="87">
        <f>I136/H138</f>
        <v>86949.302224050291</v>
      </c>
      <c r="J138" s="87"/>
      <c r="K138" s="75">
        <f>H138</f>
        <v>1</v>
      </c>
      <c r="L138" s="87">
        <f>L136/K138</f>
        <v>86949.302224050291</v>
      </c>
      <c r="M138" s="5"/>
      <c r="N138" s="5"/>
      <c r="O138" s="5"/>
      <c r="P138" s="5"/>
      <c r="Q138" s="5"/>
    </row>
    <row r="139" spans="1:17" x14ac:dyDescent="0.25">
      <c r="B139" s="36"/>
      <c r="C139" s="6"/>
      <c r="D139" s="90"/>
      <c r="E139" s="100"/>
      <c r="F139" s="49"/>
      <c r="H139" s="92"/>
      <c r="I139" s="44"/>
      <c r="J139" s="44"/>
      <c r="K139" s="5"/>
      <c r="L139" s="72"/>
      <c r="M139" s="5"/>
      <c r="N139" s="5"/>
      <c r="O139" s="5"/>
      <c r="P139" s="5"/>
      <c r="Q139" s="5"/>
    </row>
    <row r="140" spans="1:17" x14ac:dyDescent="0.25">
      <c r="C140" s="50" t="s">
        <v>38</v>
      </c>
      <c r="D140" s="6"/>
      <c r="E140" s="54"/>
      <c r="F140" s="54"/>
      <c r="G140" s="54"/>
      <c r="H140" s="6"/>
      <c r="I140" s="44">
        <v>517528.54390253476</v>
      </c>
      <c r="J140" s="72"/>
      <c r="K140" s="5"/>
      <c r="L140" s="72">
        <f>I140</f>
        <v>517528.54390253476</v>
      </c>
      <c r="M140" s="5"/>
      <c r="N140" s="5"/>
      <c r="O140" s="5"/>
      <c r="P140" s="5"/>
      <c r="Q140" s="5"/>
    </row>
    <row r="141" spans="1:17" x14ac:dyDescent="0.25">
      <c r="C141" s="50" t="s">
        <v>39</v>
      </c>
      <c r="F141" s="49"/>
      <c r="H141" s="67"/>
      <c r="I141" s="44">
        <v>8718.2144299590746</v>
      </c>
      <c r="J141" s="72"/>
      <c r="K141" s="5"/>
      <c r="L141" s="72">
        <f t="shared" ref="L141" si="2">I141</f>
        <v>8718.2144299590746</v>
      </c>
      <c r="M141" s="5"/>
      <c r="N141" s="5"/>
      <c r="O141" s="5"/>
      <c r="P141" s="5"/>
      <c r="Q141" s="5"/>
    </row>
    <row r="142" spans="1:17" x14ac:dyDescent="0.25">
      <c r="C142" s="50" t="s">
        <v>35</v>
      </c>
      <c r="F142" s="49"/>
      <c r="H142" s="67"/>
      <c r="I142" s="44">
        <v>40082.111565497587</v>
      </c>
      <c r="J142" s="72"/>
      <c r="K142" s="5"/>
      <c r="L142" s="72">
        <f>I142</f>
        <v>40082.111565497587</v>
      </c>
      <c r="M142" s="5"/>
      <c r="N142" s="5"/>
      <c r="O142" s="5"/>
      <c r="P142" s="5"/>
      <c r="Q142" s="5"/>
    </row>
    <row r="143" spans="1:17" x14ac:dyDescent="0.25">
      <c r="D143" s="90"/>
      <c r="E143" s="100"/>
      <c r="F143" s="100"/>
      <c r="G143" s="54"/>
      <c r="H143" s="6"/>
      <c r="I143" s="6"/>
      <c r="J143" s="6"/>
      <c r="K143" s="5"/>
      <c r="L143" s="72"/>
      <c r="M143" s="5"/>
      <c r="N143" s="5"/>
      <c r="O143" s="5"/>
      <c r="P143" s="5"/>
      <c r="Q143" s="5"/>
    </row>
    <row r="144" spans="1:17" x14ac:dyDescent="0.25">
      <c r="A144" s="6" t="s">
        <v>60</v>
      </c>
      <c r="B144" s="39" t="s">
        <v>83</v>
      </c>
      <c r="I144" s="56"/>
      <c r="J144" s="56"/>
      <c r="K144" s="5"/>
      <c r="L144" s="56"/>
      <c r="M144" s="5"/>
      <c r="N144" s="58"/>
      <c r="O144" s="5"/>
      <c r="P144" s="5"/>
      <c r="Q144" s="5"/>
    </row>
    <row r="145" spans="1:17" x14ac:dyDescent="0.25">
      <c r="B145" s="40"/>
      <c r="C145" s="17" t="s">
        <v>67</v>
      </c>
      <c r="E145" s="49">
        <v>0</v>
      </c>
      <c r="H145" s="45">
        <v>75</v>
      </c>
      <c r="I145" s="83">
        <f>E145*H145</f>
        <v>0</v>
      </c>
      <c r="J145" s="83"/>
      <c r="K145" s="45">
        <v>75</v>
      </c>
      <c r="L145" s="84">
        <f>E145*K145</f>
        <v>0</v>
      </c>
      <c r="M145" s="5"/>
      <c r="N145" s="58"/>
      <c r="O145" s="5"/>
      <c r="P145" s="5"/>
      <c r="Q145" s="5"/>
    </row>
    <row r="146" spans="1:17" x14ac:dyDescent="0.25">
      <c r="D146" s="90"/>
      <c r="E146" s="100"/>
      <c r="F146" s="100"/>
      <c r="G146" s="54"/>
      <c r="H146" s="6"/>
      <c r="I146" s="6"/>
      <c r="J146" s="6"/>
      <c r="K146" s="5"/>
      <c r="L146" s="72"/>
      <c r="M146" s="5"/>
      <c r="N146" s="5"/>
      <c r="O146" s="5"/>
      <c r="P146" s="5"/>
      <c r="Q146" s="5"/>
    </row>
    <row r="147" spans="1:17" ht="16.5" thickBot="1" x14ac:dyDescent="0.3">
      <c r="B147" s="40" t="s">
        <v>20</v>
      </c>
      <c r="D147" s="90"/>
      <c r="E147" s="100"/>
      <c r="F147" s="100"/>
      <c r="I147" s="55">
        <f>I129+I138+SUM(I140:I142)+I145</f>
        <v>832734.57018943038</v>
      </c>
      <c r="J147" s="56"/>
      <c r="K147" s="5"/>
      <c r="L147" s="55">
        <f>L129+L138+SUM(L140:L142)+L145</f>
        <v>832734.57018943038</v>
      </c>
      <c r="M147" s="5"/>
      <c r="N147" s="58"/>
      <c r="O147" s="5"/>
      <c r="P147" s="5"/>
      <c r="Q147" s="5"/>
    </row>
    <row r="148" spans="1:17" ht="16.5" thickTop="1" x14ac:dyDescent="0.25">
      <c r="B148" s="40"/>
      <c r="D148" s="90"/>
      <c r="E148" s="100"/>
      <c r="F148" s="100"/>
      <c r="I148" s="56"/>
      <c r="J148" s="56"/>
      <c r="K148" s="5"/>
      <c r="L148" s="72"/>
      <c r="M148" s="5"/>
      <c r="N148" s="58"/>
      <c r="O148" s="5"/>
      <c r="P148" s="5"/>
      <c r="Q148" s="5"/>
    </row>
    <row r="149" spans="1:17" x14ac:dyDescent="0.25">
      <c r="B149" s="40"/>
      <c r="C149" s="59" t="s">
        <v>81</v>
      </c>
      <c r="D149" s="90"/>
      <c r="E149" s="100"/>
      <c r="F149" s="100"/>
      <c r="I149" s="56"/>
      <c r="J149" s="56"/>
      <c r="K149" s="5"/>
      <c r="L149" s="72">
        <f>L147-I147</f>
        <v>0</v>
      </c>
      <c r="M149" s="5"/>
      <c r="N149" s="58"/>
      <c r="O149" s="5"/>
      <c r="P149" s="5"/>
      <c r="Q149" s="5"/>
    </row>
    <row r="150" spans="1:17" x14ac:dyDescent="0.25">
      <c r="B150" s="40"/>
      <c r="C150" s="59"/>
      <c r="D150" s="90"/>
      <c r="E150" s="100"/>
      <c r="F150" s="100"/>
      <c r="I150" s="56"/>
      <c r="J150" s="56"/>
      <c r="K150" s="5"/>
      <c r="L150" s="61">
        <f>L149/I147</f>
        <v>0</v>
      </c>
      <c r="M150" s="5"/>
      <c r="N150" s="58"/>
      <c r="O150" s="5"/>
      <c r="P150" s="5"/>
      <c r="Q150" s="5"/>
    </row>
    <row r="151" spans="1:17" x14ac:dyDescent="0.25">
      <c r="I151" s="6"/>
      <c r="J151" s="6"/>
      <c r="K151" s="5"/>
      <c r="L151" s="126"/>
      <c r="M151" s="5"/>
      <c r="N151" s="5"/>
      <c r="O151" s="5"/>
      <c r="P151" s="5"/>
      <c r="Q151" s="5"/>
    </row>
    <row r="152" spans="1:17" x14ac:dyDescent="0.25">
      <c r="A152" s="6" t="s">
        <v>115</v>
      </c>
      <c r="B152" s="39" t="s">
        <v>21</v>
      </c>
      <c r="K152" s="5"/>
      <c r="L152" s="5"/>
      <c r="M152" s="5"/>
      <c r="N152" s="5"/>
      <c r="O152" s="5"/>
      <c r="P152" s="5"/>
      <c r="Q152" s="5"/>
    </row>
    <row r="153" spans="1:17" x14ac:dyDescent="0.25">
      <c r="A153" s="6" t="s">
        <v>1</v>
      </c>
      <c r="K153" s="5"/>
      <c r="L153" s="5"/>
      <c r="M153" s="5"/>
      <c r="N153" s="5"/>
      <c r="O153" s="5"/>
      <c r="P153" s="5"/>
      <c r="Q153" s="5"/>
    </row>
    <row r="154" spans="1:17" x14ac:dyDescent="0.25">
      <c r="B154" s="40" t="s">
        <v>148</v>
      </c>
      <c r="K154" s="76"/>
      <c r="L154" s="58"/>
      <c r="M154" s="5"/>
      <c r="N154" s="5"/>
      <c r="O154" s="5"/>
      <c r="P154" s="5"/>
      <c r="Q154" s="5"/>
    </row>
    <row r="155" spans="1:17" x14ac:dyDescent="0.25">
      <c r="C155" s="17" t="s">
        <v>17</v>
      </c>
      <c r="D155" s="90"/>
      <c r="E155" s="24">
        <v>924</v>
      </c>
      <c r="F155" s="100"/>
      <c r="H155" s="45">
        <v>550</v>
      </c>
      <c r="I155" s="72">
        <f>+E155*H155</f>
        <v>508200</v>
      </c>
      <c r="J155" s="72"/>
      <c r="K155" s="45">
        <v>550</v>
      </c>
      <c r="L155" s="72">
        <f>E155*K155</f>
        <v>508200</v>
      </c>
      <c r="M155" s="5"/>
      <c r="N155" s="5"/>
      <c r="O155" s="5"/>
      <c r="P155" s="5"/>
      <c r="Q155" s="5"/>
    </row>
    <row r="156" spans="1:17" x14ac:dyDescent="0.25">
      <c r="C156" s="62" t="s">
        <v>117</v>
      </c>
      <c r="D156" s="90"/>
      <c r="F156" s="100"/>
      <c r="H156" s="45"/>
      <c r="I156" s="72"/>
      <c r="J156" s="72"/>
      <c r="K156" s="45"/>
      <c r="L156" s="72"/>
      <c r="M156" s="5"/>
      <c r="N156" s="5"/>
      <c r="O156" s="5"/>
      <c r="P156" s="5"/>
      <c r="Q156" s="5"/>
    </row>
    <row r="157" spans="1:17" x14ac:dyDescent="0.25">
      <c r="B157" s="40"/>
      <c r="C157" s="59" t="s">
        <v>132</v>
      </c>
      <c r="E157" s="53">
        <v>924</v>
      </c>
      <c r="H157" s="45">
        <v>0</v>
      </c>
      <c r="I157" s="56">
        <f>E157*H157</f>
        <v>0</v>
      </c>
      <c r="J157" s="56"/>
      <c r="K157" s="45">
        <f>ROUND(K87*365.25/12,0)</f>
        <v>750</v>
      </c>
      <c r="L157" s="84">
        <f>E157*K157</f>
        <v>693000</v>
      </c>
      <c r="M157" s="5"/>
      <c r="N157" s="106"/>
      <c r="O157" s="5"/>
      <c r="P157" s="5"/>
      <c r="Q157" s="5"/>
    </row>
    <row r="158" spans="1:17" x14ac:dyDescent="0.25">
      <c r="C158" s="90" t="s">
        <v>0</v>
      </c>
      <c r="F158" s="49">
        <v>13291726.750302574</v>
      </c>
      <c r="H158" s="47">
        <v>0.44400000000000001</v>
      </c>
      <c r="I158" s="84">
        <f>+F158*H158</f>
        <v>5901526.6771343425</v>
      </c>
      <c r="J158" s="84"/>
      <c r="K158" s="210">
        <v>3.7999999999999999E-2</v>
      </c>
      <c r="L158" s="84">
        <f>F158*K158</f>
        <v>505085.61651149776</v>
      </c>
      <c r="M158" s="5"/>
      <c r="N158" s="5"/>
      <c r="O158" s="5"/>
      <c r="P158" s="5"/>
      <c r="Q158" s="5"/>
    </row>
    <row r="159" spans="1:17" x14ac:dyDescent="0.25">
      <c r="C159" s="73" t="s">
        <v>13</v>
      </c>
      <c r="D159" s="90"/>
      <c r="F159" s="206">
        <v>961831.5</v>
      </c>
      <c r="H159" s="45"/>
      <c r="I159" s="74"/>
      <c r="J159" s="72"/>
      <c r="K159" s="45">
        <v>4.8899999999999997</v>
      </c>
      <c r="L159" s="74">
        <f>F159*K159</f>
        <v>4703356.0350000001</v>
      </c>
      <c r="M159" s="5"/>
      <c r="N159" s="5"/>
      <c r="O159" s="5"/>
      <c r="P159" s="5"/>
      <c r="Q159" s="5"/>
    </row>
    <row r="160" spans="1:17" x14ac:dyDescent="0.25">
      <c r="C160" s="40" t="s">
        <v>25</v>
      </c>
      <c r="D160" s="101"/>
      <c r="E160" s="102"/>
      <c r="F160" s="102"/>
      <c r="H160" s="67"/>
      <c r="I160" s="87">
        <f>SUM(I155:I159)</f>
        <v>6409726.6771343425</v>
      </c>
      <c r="J160" s="87"/>
      <c r="K160" s="5"/>
      <c r="L160" s="87">
        <f>SUM(L155:L159)</f>
        <v>6409641.6515114978</v>
      </c>
      <c r="M160" s="5"/>
      <c r="N160" s="5"/>
      <c r="O160" s="5"/>
      <c r="P160" s="5"/>
      <c r="Q160" s="5"/>
    </row>
    <row r="161" spans="1:17" x14ac:dyDescent="0.25">
      <c r="C161" s="40"/>
      <c r="D161" s="101"/>
      <c r="E161" s="102"/>
      <c r="F161" s="102"/>
      <c r="H161" s="67"/>
      <c r="I161" s="87"/>
      <c r="J161" s="87"/>
      <c r="K161" s="5"/>
      <c r="L161" s="87"/>
      <c r="M161" s="5"/>
      <c r="N161" s="5"/>
      <c r="O161" s="5"/>
      <c r="P161" s="5"/>
      <c r="Q161" s="5"/>
    </row>
    <row r="162" spans="1:17" x14ac:dyDescent="0.25">
      <c r="C162" s="40" t="s">
        <v>87</v>
      </c>
      <c r="D162" s="101"/>
      <c r="E162" s="102"/>
      <c r="F162" s="102"/>
      <c r="G162" s="41" t="s">
        <v>107</v>
      </c>
      <c r="H162" s="51">
        <v>1</v>
      </c>
      <c r="I162" s="52">
        <f>I160/H162</f>
        <v>6409726.6771343425</v>
      </c>
      <c r="J162" s="44"/>
      <c r="K162" s="103">
        <f>H162</f>
        <v>1</v>
      </c>
      <c r="L162" s="104">
        <f>L160/K162</f>
        <v>6409641.6515114978</v>
      </c>
      <c r="M162" s="5"/>
      <c r="N162" s="5"/>
      <c r="O162" s="5"/>
      <c r="P162" s="5"/>
      <c r="Q162" s="5"/>
    </row>
    <row r="163" spans="1:17" x14ac:dyDescent="0.25">
      <c r="C163" s="50"/>
      <c r="D163" s="101"/>
      <c r="E163" s="102"/>
      <c r="F163" s="102"/>
      <c r="H163" s="67"/>
      <c r="I163" s="44"/>
      <c r="J163" s="44"/>
      <c r="K163" s="5"/>
      <c r="L163" s="72"/>
      <c r="M163" s="5"/>
      <c r="N163" s="5"/>
      <c r="O163" s="5"/>
      <c r="P163" s="5"/>
      <c r="Q163" s="5"/>
    </row>
    <row r="164" spans="1:17" x14ac:dyDescent="0.25">
      <c r="C164" s="50" t="s">
        <v>38</v>
      </c>
      <c r="D164" s="101"/>
      <c r="E164" s="102"/>
      <c r="F164" s="102"/>
      <c r="H164" s="67"/>
      <c r="I164" s="44">
        <v>0</v>
      </c>
      <c r="J164" s="44"/>
      <c r="K164" s="5"/>
      <c r="L164" s="72">
        <f>I164</f>
        <v>0</v>
      </c>
      <c r="M164" s="5"/>
      <c r="N164" s="5"/>
      <c r="O164" s="5"/>
      <c r="P164" s="5"/>
      <c r="Q164" s="5"/>
    </row>
    <row r="165" spans="1:17" x14ac:dyDescent="0.25">
      <c r="C165" s="50" t="s">
        <v>39</v>
      </c>
      <c r="D165" s="101"/>
      <c r="E165" s="102"/>
      <c r="F165" s="102"/>
      <c r="H165" s="67"/>
      <c r="I165" s="44">
        <v>0</v>
      </c>
      <c r="J165" s="44"/>
      <c r="K165" s="5"/>
      <c r="L165" s="72">
        <f>I165</f>
        <v>0</v>
      </c>
      <c r="M165" s="5"/>
      <c r="N165" s="5"/>
      <c r="O165" s="5"/>
      <c r="P165" s="5"/>
      <c r="Q165" s="5"/>
    </row>
    <row r="166" spans="1:17" x14ac:dyDescent="0.25">
      <c r="C166" s="50" t="s">
        <v>35</v>
      </c>
      <c r="D166" s="101"/>
      <c r="E166" s="102"/>
      <c r="F166" s="102"/>
      <c r="H166" s="67"/>
      <c r="I166" s="44">
        <v>80951.092134637074</v>
      </c>
      <c r="J166" s="44"/>
      <c r="K166" s="5"/>
      <c r="L166" s="72">
        <f>I166</f>
        <v>80951.092134637074</v>
      </c>
      <c r="M166" s="5"/>
      <c r="N166" s="5"/>
      <c r="O166" s="5"/>
      <c r="P166" s="5"/>
      <c r="Q166" s="5"/>
    </row>
    <row r="167" spans="1:17" x14ac:dyDescent="0.25">
      <c r="B167" s="40"/>
      <c r="C167" s="105"/>
      <c r="I167" s="56"/>
      <c r="J167" s="56"/>
      <c r="K167" s="5"/>
      <c r="L167" s="56"/>
      <c r="M167" s="5"/>
      <c r="N167" s="106"/>
      <c r="O167" s="5"/>
      <c r="P167" s="5"/>
      <c r="Q167" s="5"/>
    </row>
    <row r="168" spans="1:17" x14ac:dyDescent="0.25">
      <c r="A168" s="6" t="s">
        <v>99</v>
      </c>
      <c r="B168" s="39" t="s">
        <v>82</v>
      </c>
      <c r="K168" s="5"/>
      <c r="L168" s="72"/>
      <c r="M168" s="5"/>
      <c r="N168" s="5"/>
      <c r="O168" s="5"/>
      <c r="P168" s="5"/>
      <c r="Q168" s="5"/>
    </row>
    <row r="169" spans="1:17" ht="15" customHeight="1" x14ac:dyDescent="0.25">
      <c r="B169" s="90"/>
      <c r="C169" s="17" t="s">
        <v>67</v>
      </c>
      <c r="E169" s="49">
        <v>828</v>
      </c>
      <c r="H169" s="45">
        <v>75</v>
      </c>
      <c r="I169" s="72">
        <f>+E169*H169</f>
        <v>62100</v>
      </c>
      <c r="J169" s="72"/>
      <c r="K169" s="45">
        <v>75</v>
      </c>
      <c r="L169" s="72">
        <f>E169*K169</f>
        <v>62100</v>
      </c>
      <c r="M169" s="5"/>
      <c r="N169" s="5"/>
      <c r="O169" s="5"/>
      <c r="P169" s="5"/>
      <c r="Q169" s="5"/>
    </row>
    <row r="170" spans="1:17" ht="15" customHeight="1" x14ac:dyDescent="0.25">
      <c r="B170" s="90"/>
      <c r="E170" s="49"/>
      <c r="H170" s="45"/>
      <c r="I170" s="72"/>
      <c r="J170" s="72"/>
      <c r="K170" s="45"/>
      <c r="L170" s="72"/>
      <c r="M170" s="5"/>
      <c r="N170" s="5"/>
      <c r="O170" s="5"/>
      <c r="P170" s="5"/>
      <c r="Q170" s="5"/>
    </row>
    <row r="171" spans="1:17" ht="16.5" thickBot="1" x14ac:dyDescent="0.3">
      <c r="B171" s="40"/>
      <c r="C171" s="105" t="s">
        <v>110</v>
      </c>
      <c r="I171" s="55">
        <f>I162+SUM(I164:I166)+I169</f>
        <v>6552777.7692689793</v>
      </c>
      <c r="J171" s="56"/>
      <c r="K171" s="5"/>
      <c r="L171" s="55">
        <f>L162+SUM(L164:L166)+L169</f>
        <v>6552692.7436461346</v>
      </c>
      <c r="M171" s="5"/>
      <c r="N171" s="106"/>
      <c r="O171" s="5"/>
      <c r="P171" s="5"/>
      <c r="Q171" s="5"/>
    </row>
    <row r="172" spans="1:17" ht="16.5" thickTop="1" x14ac:dyDescent="0.25">
      <c r="B172" s="40"/>
      <c r="C172" s="59" t="s">
        <v>81</v>
      </c>
      <c r="I172" s="56"/>
      <c r="J172" s="56"/>
      <c r="K172" s="5"/>
      <c r="L172" s="97">
        <f>L171-I171</f>
        <v>-85.025622844696045</v>
      </c>
      <c r="M172" s="5"/>
      <c r="N172" s="106"/>
      <c r="O172" s="5"/>
      <c r="P172" s="5"/>
      <c r="Q172" s="5"/>
    </row>
    <row r="173" spans="1:17" x14ac:dyDescent="0.25">
      <c r="B173" s="40"/>
      <c r="I173" s="56"/>
      <c r="J173" s="56"/>
      <c r="K173" s="5"/>
      <c r="L173" s="61">
        <f>L172/I171</f>
        <v>-1.2975508378057113E-5</v>
      </c>
      <c r="M173" s="5"/>
      <c r="N173" s="106"/>
      <c r="O173" s="5"/>
      <c r="P173" s="5"/>
      <c r="Q173" s="5"/>
    </row>
    <row r="175" spans="1:17" x14ac:dyDescent="0.25">
      <c r="K175" s="5"/>
      <c r="L175" s="126" t="s">
        <v>165</v>
      </c>
      <c r="M175" s="5"/>
      <c r="N175" s="5"/>
      <c r="O175" s="5"/>
      <c r="P175" s="5"/>
      <c r="Q175" s="5"/>
    </row>
    <row r="176" spans="1:17" x14ac:dyDescent="0.25">
      <c r="B176" s="39" t="s">
        <v>23</v>
      </c>
      <c r="K176" s="5"/>
      <c r="L176" s="5"/>
      <c r="M176" s="5"/>
      <c r="N176" s="5"/>
      <c r="O176" s="5"/>
      <c r="P176" s="5"/>
      <c r="Q176" s="5"/>
    </row>
    <row r="177" spans="1:17" x14ac:dyDescent="0.25">
      <c r="B177" s="42"/>
      <c r="K177" s="5"/>
      <c r="L177" s="5"/>
      <c r="M177" s="5"/>
      <c r="N177" s="5"/>
      <c r="O177" s="5"/>
      <c r="P177" s="5"/>
      <c r="Q177" s="5"/>
    </row>
    <row r="178" spans="1:17" x14ac:dyDescent="0.25">
      <c r="B178" s="99" t="s">
        <v>41</v>
      </c>
      <c r="K178" s="5"/>
      <c r="L178" s="5"/>
      <c r="M178" s="5"/>
      <c r="N178" s="5"/>
      <c r="O178" s="5"/>
      <c r="P178" s="5"/>
      <c r="Q178" s="5"/>
    </row>
    <row r="179" spans="1:17" x14ac:dyDescent="0.25">
      <c r="B179" s="99"/>
      <c r="C179" s="62" t="s">
        <v>117</v>
      </c>
      <c r="K179" s="5"/>
      <c r="L179" s="5"/>
      <c r="M179" s="5"/>
      <c r="N179" s="5"/>
      <c r="O179" s="5"/>
      <c r="P179" s="5"/>
      <c r="Q179" s="5"/>
    </row>
    <row r="180" spans="1:17" x14ac:dyDescent="0.25">
      <c r="A180" s="96" t="s">
        <v>89</v>
      </c>
      <c r="B180" s="42"/>
      <c r="C180" s="6" t="s">
        <v>132</v>
      </c>
      <c r="E180" s="24">
        <v>12</v>
      </c>
      <c r="H180" s="45">
        <v>750</v>
      </c>
      <c r="I180" s="72">
        <f>+E180*H180</f>
        <v>9000</v>
      </c>
      <c r="J180" s="72"/>
      <c r="K180" s="45">
        <v>750</v>
      </c>
      <c r="L180" s="72">
        <f>E180*K180</f>
        <v>9000</v>
      </c>
      <c r="M180" s="5"/>
      <c r="N180" s="5"/>
      <c r="O180" s="5"/>
      <c r="P180" s="5"/>
      <c r="Q180" s="5"/>
    </row>
    <row r="181" spans="1:17" x14ac:dyDescent="0.25">
      <c r="B181" s="42"/>
      <c r="C181" s="17" t="s">
        <v>0</v>
      </c>
      <c r="F181" s="49">
        <v>404400.4</v>
      </c>
      <c r="H181" s="67">
        <v>0.29920000000000002</v>
      </c>
      <c r="I181" s="84">
        <f>+F181*H181</f>
        <v>120996.59968000001</v>
      </c>
      <c r="J181" s="84"/>
      <c r="K181" s="67">
        <v>0.29920000000000002</v>
      </c>
      <c r="L181" s="72">
        <f>F181*K181</f>
        <v>120996.59968000001</v>
      </c>
      <c r="M181" s="5"/>
      <c r="N181" s="5"/>
      <c r="O181" s="5"/>
      <c r="P181" s="5"/>
      <c r="Q181" s="5"/>
    </row>
    <row r="182" spans="1:17" x14ac:dyDescent="0.25">
      <c r="B182" s="42"/>
      <c r="C182" s="107" t="s">
        <v>13</v>
      </c>
      <c r="F182" s="49">
        <v>198720</v>
      </c>
      <c r="H182" s="47">
        <v>10.8978</v>
      </c>
      <c r="I182" s="74">
        <f>F182*H182</f>
        <v>2165610.8160000001</v>
      </c>
      <c r="J182" s="84"/>
      <c r="K182" s="47">
        <v>10.8978</v>
      </c>
      <c r="L182" s="74">
        <f>F182*K182</f>
        <v>2165610.8160000001</v>
      </c>
      <c r="M182" s="5"/>
      <c r="N182" s="5"/>
      <c r="O182" s="5"/>
      <c r="P182" s="5"/>
      <c r="Q182" s="5"/>
    </row>
    <row r="183" spans="1:17" x14ac:dyDescent="0.25">
      <c r="B183" s="42"/>
      <c r="C183" s="99" t="s">
        <v>25</v>
      </c>
      <c r="F183" s="108"/>
      <c r="H183" s="47"/>
      <c r="I183" s="109">
        <f>SUM(I180:I182)</f>
        <v>2295607.4156800001</v>
      </c>
      <c r="J183" s="109"/>
      <c r="K183" s="5"/>
      <c r="L183" s="109">
        <f>SUM(L180:L182)</f>
        <v>2295607.4156800001</v>
      </c>
      <c r="M183" s="5"/>
      <c r="N183" s="5"/>
      <c r="O183" s="5"/>
      <c r="P183" s="5"/>
      <c r="Q183" s="5"/>
    </row>
    <row r="184" spans="1:17" x14ac:dyDescent="0.25">
      <c r="B184" s="42"/>
      <c r="C184" s="40"/>
      <c r="F184" s="108"/>
      <c r="H184" s="47"/>
      <c r="I184" s="109"/>
      <c r="J184" s="109"/>
      <c r="K184" s="5"/>
      <c r="L184" s="109"/>
      <c r="M184" s="5"/>
      <c r="N184" s="5"/>
      <c r="O184" s="5"/>
      <c r="P184" s="5"/>
      <c r="Q184" s="5"/>
    </row>
    <row r="185" spans="1:17" x14ac:dyDescent="0.25">
      <c r="B185" s="42"/>
      <c r="C185" s="40" t="s">
        <v>87</v>
      </c>
      <c r="F185" s="108"/>
      <c r="G185" s="41" t="s">
        <v>107</v>
      </c>
      <c r="H185" s="51">
        <v>1</v>
      </c>
      <c r="I185" s="109">
        <f>I183/H185</f>
        <v>2295607.4156800001</v>
      </c>
      <c r="J185" s="109"/>
      <c r="K185" s="75">
        <f>H185</f>
        <v>1</v>
      </c>
      <c r="L185" s="109">
        <f>L183/K185</f>
        <v>2295607.4156800001</v>
      </c>
      <c r="M185" s="5"/>
      <c r="N185" s="5"/>
      <c r="O185" s="5"/>
      <c r="P185" s="5"/>
      <c r="Q185" s="5"/>
    </row>
    <row r="186" spans="1:17" x14ac:dyDescent="0.25">
      <c r="B186" s="42"/>
      <c r="F186" s="108"/>
      <c r="H186" s="110"/>
      <c r="I186" s="84"/>
      <c r="J186" s="84"/>
      <c r="K186" s="5"/>
      <c r="L186" s="72"/>
      <c r="M186" s="5"/>
      <c r="N186" s="5"/>
      <c r="O186" s="5"/>
      <c r="P186" s="5"/>
      <c r="Q186" s="5"/>
    </row>
    <row r="187" spans="1:17" x14ac:dyDescent="0.25">
      <c r="B187" s="42"/>
      <c r="C187" s="50" t="s">
        <v>38</v>
      </c>
      <c r="F187" s="108"/>
      <c r="H187" s="110"/>
      <c r="I187" s="84">
        <v>1470692.3614855495</v>
      </c>
      <c r="J187" s="84"/>
      <c r="K187" s="5"/>
      <c r="L187" s="72">
        <f>I187</f>
        <v>1470692.3614855495</v>
      </c>
      <c r="M187" s="5"/>
      <c r="N187" s="5"/>
      <c r="O187" s="5"/>
      <c r="P187" s="5"/>
      <c r="Q187" s="5"/>
    </row>
    <row r="188" spans="1:17" x14ac:dyDescent="0.25">
      <c r="B188" s="42"/>
      <c r="C188" s="50" t="s">
        <v>39</v>
      </c>
      <c r="F188" s="108"/>
      <c r="H188" s="110"/>
      <c r="I188" s="84">
        <v>0</v>
      </c>
      <c r="J188" s="84"/>
      <c r="K188" s="5"/>
      <c r="L188" s="72">
        <f t="shared" ref="L188:L189" si="3">I188</f>
        <v>0</v>
      </c>
      <c r="M188" s="5"/>
      <c r="N188" s="5"/>
      <c r="O188" s="5"/>
      <c r="P188" s="5"/>
      <c r="Q188" s="5"/>
    </row>
    <row r="189" spans="1:17" x14ac:dyDescent="0.25">
      <c r="B189" s="42"/>
      <c r="C189" s="50" t="s">
        <v>35</v>
      </c>
      <c r="F189" s="108"/>
      <c r="H189" s="110"/>
      <c r="I189" s="84">
        <v>0</v>
      </c>
      <c r="J189" s="84"/>
      <c r="K189" s="5"/>
      <c r="L189" s="72">
        <f t="shared" si="3"/>
        <v>0</v>
      </c>
      <c r="M189" s="5"/>
      <c r="N189" s="5"/>
      <c r="O189" s="5"/>
      <c r="P189" s="5"/>
      <c r="Q189" s="5"/>
    </row>
    <row r="190" spans="1:17" x14ac:dyDescent="0.25">
      <c r="B190" s="42"/>
      <c r="C190" s="50"/>
      <c r="F190" s="108"/>
      <c r="H190" s="110"/>
      <c r="I190" s="84"/>
      <c r="J190" s="84"/>
      <c r="K190" s="5"/>
      <c r="L190" s="72"/>
      <c r="M190" s="5"/>
      <c r="N190" s="5"/>
      <c r="O190" s="5"/>
      <c r="P190" s="5"/>
      <c r="Q190" s="5"/>
    </row>
    <row r="191" spans="1:17" ht="16.5" thickBot="1" x14ac:dyDescent="0.3">
      <c r="B191" s="42"/>
      <c r="C191" s="111" t="s">
        <v>40</v>
      </c>
      <c r="F191" s="108"/>
      <c r="H191" s="110"/>
      <c r="I191" s="112">
        <f>I185+SUM(I187:I189)</f>
        <v>3766299.7771655498</v>
      </c>
      <c r="J191" s="109"/>
      <c r="K191" s="5"/>
      <c r="L191" s="112">
        <f>L185+SUM(L187:L189)</f>
        <v>3766299.7771655498</v>
      </c>
      <c r="M191" s="113"/>
      <c r="N191" s="76"/>
      <c r="O191" s="5"/>
      <c r="P191" s="5"/>
      <c r="Q191" s="5"/>
    </row>
    <row r="192" spans="1:17" ht="16.5" thickTop="1" x14ac:dyDescent="0.25">
      <c r="B192" s="42"/>
      <c r="C192" s="111"/>
      <c r="F192" s="108"/>
      <c r="H192" s="110"/>
      <c r="I192" s="109"/>
      <c r="J192" s="109"/>
      <c r="K192" s="5"/>
      <c r="L192" s="72"/>
      <c r="M192" s="113"/>
      <c r="N192" s="76"/>
      <c r="O192" s="5"/>
      <c r="P192" s="5"/>
      <c r="Q192" s="5"/>
    </row>
    <row r="193" spans="1:17" x14ac:dyDescent="0.25">
      <c r="B193" s="42"/>
      <c r="C193" s="50" t="s">
        <v>81</v>
      </c>
      <c r="F193" s="108"/>
      <c r="H193" s="110"/>
      <c r="I193" s="109"/>
      <c r="J193" s="109"/>
      <c r="K193" s="5"/>
      <c r="L193" s="72">
        <f>L191-I191</f>
        <v>0</v>
      </c>
      <c r="M193" s="113"/>
      <c r="N193" s="76"/>
      <c r="O193" s="5"/>
      <c r="P193" s="5"/>
      <c r="Q193" s="5"/>
    </row>
    <row r="194" spans="1:17" x14ac:dyDescent="0.25">
      <c r="B194" s="42"/>
      <c r="C194" s="111"/>
      <c r="F194" s="108"/>
      <c r="H194" s="110"/>
      <c r="I194" s="109"/>
      <c r="J194" s="109"/>
      <c r="K194" s="5"/>
      <c r="L194" s="114">
        <f>L193/I191</f>
        <v>0</v>
      </c>
      <c r="M194" s="113"/>
      <c r="N194" s="76"/>
      <c r="O194" s="5"/>
      <c r="P194" s="5"/>
      <c r="Q194" s="5"/>
    </row>
    <row r="195" spans="1:17" x14ac:dyDescent="0.25">
      <c r="B195" s="42"/>
      <c r="C195" s="50"/>
      <c r="F195" s="108"/>
      <c r="H195" s="110"/>
      <c r="I195" s="84"/>
      <c r="J195" s="84"/>
      <c r="K195" s="5"/>
      <c r="L195" s="126"/>
      <c r="M195" s="5"/>
      <c r="N195" s="5"/>
      <c r="O195" s="5"/>
      <c r="P195" s="5"/>
      <c r="Q195" s="5"/>
    </row>
    <row r="196" spans="1:17" x14ac:dyDescent="0.25">
      <c r="A196" s="6" t="s">
        <v>58</v>
      </c>
      <c r="B196" s="39" t="s">
        <v>66</v>
      </c>
      <c r="K196" s="5"/>
      <c r="L196" s="5"/>
      <c r="M196" s="5"/>
      <c r="N196" s="5"/>
      <c r="O196" s="5"/>
      <c r="P196" s="5"/>
      <c r="Q196" s="5"/>
    </row>
    <row r="197" spans="1:17" x14ac:dyDescent="0.25">
      <c r="K197" s="5"/>
      <c r="L197" s="5"/>
      <c r="M197" s="5"/>
      <c r="N197" s="5"/>
      <c r="O197" s="5"/>
      <c r="P197" s="5"/>
      <c r="Q197" s="5"/>
    </row>
    <row r="198" spans="1:17" x14ac:dyDescent="0.25">
      <c r="B198" s="36" t="s">
        <v>149</v>
      </c>
      <c r="C198" s="115"/>
      <c r="K198" s="5"/>
      <c r="L198" s="5"/>
      <c r="M198" s="5"/>
      <c r="N198" s="5"/>
      <c r="O198" s="5"/>
      <c r="P198" s="5"/>
      <c r="Q198" s="5"/>
    </row>
    <row r="199" spans="1:17" x14ac:dyDescent="0.25">
      <c r="B199" s="40"/>
      <c r="C199" s="62" t="s">
        <v>117</v>
      </c>
      <c r="E199" s="6"/>
      <c r="H199" s="6"/>
      <c r="I199" s="6"/>
      <c r="J199" s="6"/>
      <c r="K199" s="6"/>
      <c r="M199" s="5"/>
      <c r="N199" s="5"/>
      <c r="O199" s="5"/>
      <c r="P199" s="5"/>
      <c r="Q199" s="5"/>
    </row>
    <row r="200" spans="1:17" x14ac:dyDescent="0.25">
      <c r="B200" s="40"/>
      <c r="C200" s="59" t="s">
        <v>134</v>
      </c>
      <c r="E200" s="49">
        <v>24</v>
      </c>
      <c r="H200" s="45">
        <v>165</v>
      </c>
      <c r="I200" s="72">
        <f>+E200*H200</f>
        <v>3960</v>
      </c>
      <c r="J200" s="72"/>
      <c r="K200" s="45">
        <v>165</v>
      </c>
      <c r="L200" s="72">
        <f>E200*K200</f>
        <v>3960</v>
      </c>
      <c r="M200" s="5"/>
      <c r="N200" s="5"/>
      <c r="O200" s="5"/>
      <c r="P200" s="5"/>
      <c r="Q200" s="5"/>
    </row>
    <row r="201" spans="1:17" x14ac:dyDescent="0.25">
      <c r="B201" s="40"/>
      <c r="C201" s="59" t="s">
        <v>135</v>
      </c>
      <c r="E201" s="49">
        <v>0</v>
      </c>
      <c r="H201" s="45">
        <v>750</v>
      </c>
      <c r="I201" s="72">
        <f>E201*H201</f>
        <v>0</v>
      </c>
      <c r="J201" s="72"/>
      <c r="K201" s="45">
        <v>750</v>
      </c>
      <c r="L201" s="72">
        <f>E201*K201</f>
        <v>0</v>
      </c>
      <c r="M201" s="5"/>
      <c r="N201" s="5"/>
      <c r="O201" s="5"/>
      <c r="P201" s="5"/>
      <c r="Q201" s="5"/>
    </row>
    <row r="202" spans="1:17" x14ac:dyDescent="0.25">
      <c r="C202" s="17" t="s">
        <v>0</v>
      </c>
      <c r="F202" s="49">
        <v>8.3905771403462044</v>
      </c>
      <c r="H202" s="47">
        <v>0.29919999999999997</v>
      </c>
      <c r="I202" s="72">
        <f>ROUND(+F202*H202,2)</f>
        <v>2.5099999999999998</v>
      </c>
      <c r="J202" s="72"/>
      <c r="K202" s="47">
        <v>0.29920000000000002</v>
      </c>
      <c r="L202" s="72">
        <f>F202*K202</f>
        <v>2.5104606803915845</v>
      </c>
      <c r="M202" s="5"/>
      <c r="N202" s="5"/>
      <c r="O202" s="5"/>
      <c r="P202" s="5"/>
      <c r="Q202" s="5"/>
    </row>
    <row r="203" spans="1:17" x14ac:dyDescent="0.25">
      <c r="C203" s="73" t="s">
        <v>13</v>
      </c>
      <c r="F203" s="49">
        <v>1073.2257886912953</v>
      </c>
      <c r="H203" s="47">
        <v>10.8978</v>
      </c>
      <c r="I203" s="74">
        <f>+F203*H203</f>
        <v>11695.799999999997</v>
      </c>
      <c r="J203" s="72"/>
      <c r="K203" s="47">
        <v>10.8978</v>
      </c>
      <c r="L203" s="74">
        <f>F203*K203</f>
        <v>11695.799999999997</v>
      </c>
      <c r="M203" s="5"/>
      <c r="N203" s="5"/>
      <c r="O203" s="5"/>
      <c r="P203" s="5"/>
      <c r="Q203" s="5"/>
    </row>
    <row r="204" spans="1:17" x14ac:dyDescent="0.25">
      <c r="C204" s="99" t="s">
        <v>25</v>
      </c>
      <c r="F204" s="102"/>
      <c r="H204" s="47"/>
      <c r="I204" s="104">
        <f>SUM(I200:I203)</f>
        <v>15658.309999999998</v>
      </c>
      <c r="J204" s="72"/>
      <c r="K204" s="47"/>
      <c r="L204" s="104">
        <f>SUM(L200:L203)</f>
        <v>15658.31046068039</v>
      </c>
      <c r="M204" s="5"/>
      <c r="N204" s="5"/>
      <c r="O204" s="5"/>
      <c r="P204" s="5"/>
      <c r="Q204" s="5"/>
    </row>
    <row r="205" spans="1:17" x14ac:dyDescent="0.25">
      <c r="C205" s="40"/>
      <c r="F205" s="102"/>
      <c r="H205" s="47"/>
      <c r="I205" s="72"/>
      <c r="J205" s="72"/>
      <c r="K205" s="47"/>
      <c r="L205" s="72"/>
      <c r="M205" s="5"/>
      <c r="N205" s="5"/>
      <c r="O205" s="5"/>
      <c r="P205" s="5"/>
      <c r="Q205" s="5"/>
    </row>
    <row r="206" spans="1:17" x14ac:dyDescent="0.25">
      <c r="C206" s="40" t="s">
        <v>87</v>
      </c>
      <c r="F206" s="102"/>
      <c r="G206" s="41" t="s">
        <v>107</v>
      </c>
      <c r="H206" s="51">
        <v>1</v>
      </c>
      <c r="I206" s="104">
        <f>I204/H206</f>
        <v>15658.309999999998</v>
      </c>
      <c r="J206" s="72"/>
      <c r="K206" s="103">
        <f>H206</f>
        <v>1</v>
      </c>
      <c r="L206" s="104">
        <f>L204/K206</f>
        <v>15658.31046068039</v>
      </c>
      <c r="M206" s="5"/>
      <c r="N206" s="5"/>
      <c r="O206" s="5"/>
      <c r="P206" s="5"/>
      <c r="Q206" s="5"/>
    </row>
    <row r="207" spans="1:17" x14ac:dyDescent="0.25">
      <c r="C207" s="40"/>
      <c r="F207" s="102"/>
      <c r="G207" s="41"/>
      <c r="H207" s="51"/>
      <c r="I207" s="104"/>
      <c r="J207" s="72"/>
      <c r="K207" s="103"/>
      <c r="L207" s="104"/>
      <c r="M207" s="5"/>
      <c r="N207" s="5"/>
      <c r="O207" s="5"/>
      <c r="P207" s="5"/>
      <c r="Q207" s="5"/>
    </row>
    <row r="208" spans="1:17" x14ac:dyDescent="0.25">
      <c r="A208" s="6" t="s">
        <v>113</v>
      </c>
      <c r="B208" s="36" t="s">
        <v>150</v>
      </c>
      <c r="F208" s="102"/>
      <c r="G208" s="41"/>
      <c r="H208" s="51"/>
      <c r="I208" s="104"/>
      <c r="J208" s="72"/>
      <c r="K208" s="103"/>
      <c r="L208" s="104"/>
      <c r="M208" s="5"/>
      <c r="N208" s="5"/>
      <c r="O208" s="5"/>
      <c r="P208" s="5"/>
      <c r="Q208" s="5"/>
    </row>
    <row r="209" spans="1:17" x14ac:dyDescent="0.25">
      <c r="B209" s="36"/>
      <c r="C209" s="17" t="s">
        <v>26</v>
      </c>
      <c r="E209" s="49">
        <v>0</v>
      </c>
      <c r="F209" s="102"/>
      <c r="G209" s="41"/>
      <c r="H209" s="116">
        <v>550</v>
      </c>
      <c r="I209" s="104">
        <f>E209*H209</f>
        <v>0</v>
      </c>
      <c r="J209" s="72"/>
      <c r="K209" s="117">
        <v>550</v>
      </c>
      <c r="L209" s="104">
        <f>E209*K209</f>
        <v>0</v>
      </c>
      <c r="M209" s="5"/>
      <c r="N209" s="5"/>
      <c r="O209" s="5"/>
      <c r="P209" s="5"/>
      <c r="Q209" s="5"/>
    </row>
    <row r="210" spans="1:17" x14ac:dyDescent="0.25">
      <c r="B210" s="36"/>
      <c r="C210" s="62" t="s">
        <v>117</v>
      </c>
      <c r="F210" s="102"/>
      <c r="G210" s="41"/>
      <c r="H210" s="51"/>
      <c r="I210" s="104"/>
      <c r="J210" s="72"/>
      <c r="K210" s="103"/>
      <c r="L210" s="104"/>
      <c r="M210" s="5"/>
      <c r="N210" s="5"/>
      <c r="O210" s="5"/>
      <c r="P210" s="5"/>
      <c r="Q210" s="5"/>
    </row>
    <row r="211" spans="1:17" x14ac:dyDescent="0.25">
      <c r="B211" s="36"/>
      <c r="C211" s="59" t="s">
        <v>134</v>
      </c>
      <c r="E211" s="49">
        <v>0</v>
      </c>
      <c r="F211" s="102"/>
      <c r="G211" s="41"/>
      <c r="H211" s="116">
        <v>165</v>
      </c>
      <c r="I211" s="72">
        <f>E211*H211</f>
        <v>0</v>
      </c>
      <c r="J211" s="72"/>
      <c r="K211" s="117">
        <f>K200</f>
        <v>165</v>
      </c>
      <c r="L211" s="72">
        <f>E211*K211</f>
        <v>0</v>
      </c>
      <c r="M211" s="5"/>
      <c r="N211" s="5"/>
      <c r="O211" s="5"/>
      <c r="P211" s="5"/>
      <c r="Q211" s="5"/>
    </row>
    <row r="212" spans="1:17" x14ac:dyDescent="0.25">
      <c r="B212" s="36"/>
      <c r="C212" s="59" t="s">
        <v>135</v>
      </c>
      <c r="E212" s="49">
        <v>0</v>
      </c>
      <c r="F212" s="102"/>
      <c r="G212" s="41"/>
      <c r="H212" s="116">
        <v>750</v>
      </c>
      <c r="I212" s="72">
        <f>E212*H212</f>
        <v>0</v>
      </c>
      <c r="J212" s="72"/>
      <c r="K212" s="117">
        <f>K201</f>
        <v>750</v>
      </c>
      <c r="L212" s="72">
        <f>E212*K212</f>
        <v>0</v>
      </c>
      <c r="M212" s="5"/>
      <c r="N212" s="5"/>
      <c r="O212" s="5"/>
      <c r="P212" s="5"/>
      <c r="Q212" s="5"/>
    </row>
    <row r="213" spans="1:17" x14ac:dyDescent="0.25">
      <c r="B213" s="36"/>
      <c r="C213" s="17" t="s">
        <v>0</v>
      </c>
      <c r="F213" s="49">
        <v>0</v>
      </c>
      <c r="G213" s="41"/>
      <c r="H213" s="118">
        <v>0.29919999999999997</v>
      </c>
      <c r="I213" s="72">
        <f>F213*H213</f>
        <v>0</v>
      </c>
      <c r="J213" s="72"/>
      <c r="K213" s="201">
        <f>K202</f>
        <v>0.29920000000000002</v>
      </c>
      <c r="L213" s="72">
        <f>F213*K213</f>
        <v>0</v>
      </c>
      <c r="M213" s="5"/>
      <c r="N213" s="5"/>
      <c r="O213" s="5"/>
      <c r="P213" s="5"/>
      <c r="Q213" s="5"/>
    </row>
    <row r="214" spans="1:17" x14ac:dyDescent="0.25">
      <c r="B214" s="36"/>
      <c r="C214" s="73" t="s">
        <v>13</v>
      </c>
      <c r="F214" s="49">
        <v>0</v>
      </c>
      <c r="G214" s="41"/>
      <c r="H214" s="118">
        <v>10.8978</v>
      </c>
      <c r="I214" s="74">
        <f>F214*H214</f>
        <v>0</v>
      </c>
      <c r="J214" s="72"/>
      <c r="K214" s="201">
        <f>K203</f>
        <v>10.8978</v>
      </c>
      <c r="L214" s="74">
        <f>F214*K214</f>
        <v>0</v>
      </c>
      <c r="M214" s="5"/>
      <c r="N214" s="5"/>
      <c r="O214" s="5"/>
      <c r="P214" s="5"/>
      <c r="Q214" s="5"/>
    </row>
    <row r="215" spans="1:17" x14ac:dyDescent="0.25">
      <c r="B215" s="36"/>
      <c r="C215" s="40" t="s">
        <v>25</v>
      </c>
      <c r="F215" s="102"/>
      <c r="G215" s="41"/>
      <c r="H215" s="51"/>
      <c r="I215" s="104">
        <f>SUM(I209:I214)</f>
        <v>0</v>
      </c>
      <c r="J215" s="72"/>
      <c r="K215" s="103"/>
      <c r="L215" s="104">
        <f>SUM(L209:L214)</f>
        <v>0</v>
      </c>
      <c r="M215" s="5"/>
      <c r="N215" s="5"/>
      <c r="O215" s="5"/>
      <c r="P215" s="5"/>
      <c r="Q215" s="5"/>
    </row>
    <row r="216" spans="1:17" x14ac:dyDescent="0.25">
      <c r="B216" s="36"/>
      <c r="F216" s="102"/>
      <c r="G216" s="41"/>
      <c r="H216" s="51"/>
      <c r="I216" s="104"/>
      <c r="J216" s="72"/>
      <c r="K216" s="103"/>
      <c r="L216" s="72"/>
      <c r="M216" s="5"/>
      <c r="N216" s="5"/>
      <c r="O216" s="5"/>
      <c r="P216" s="5"/>
      <c r="Q216" s="5"/>
    </row>
    <row r="217" spans="1:17" x14ac:dyDescent="0.25">
      <c r="B217" s="36"/>
      <c r="C217" s="40" t="s">
        <v>87</v>
      </c>
      <c r="F217" s="102"/>
      <c r="G217" s="41" t="s">
        <v>107</v>
      </c>
      <c r="H217" s="51">
        <v>0</v>
      </c>
      <c r="I217" s="104">
        <f>IF(H217=0,0,I215/H217)</f>
        <v>0</v>
      </c>
      <c r="J217" s="72"/>
      <c r="K217" s="103"/>
      <c r="L217" s="104">
        <f>IF(K217=0,0,L215/K217)</f>
        <v>0</v>
      </c>
      <c r="M217" s="5"/>
      <c r="N217" s="5"/>
      <c r="O217" s="5"/>
      <c r="P217" s="5"/>
      <c r="Q217" s="5"/>
    </row>
    <row r="218" spans="1:17" x14ac:dyDescent="0.25">
      <c r="F218" s="102"/>
      <c r="H218" s="47"/>
      <c r="I218" s="72"/>
      <c r="J218" s="72"/>
      <c r="K218" s="47"/>
      <c r="L218" s="72"/>
      <c r="M218" s="5"/>
      <c r="N218" s="5"/>
      <c r="O218" s="5"/>
      <c r="P218" s="5"/>
      <c r="Q218" s="5"/>
    </row>
    <row r="219" spans="1:17" x14ac:dyDescent="0.25">
      <c r="C219" s="17" t="s">
        <v>38</v>
      </c>
      <c r="F219" s="108"/>
      <c r="H219" s="6"/>
      <c r="I219" s="84">
        <v>29.948234424056107</v>
      </c>
      <c r="J219" s="45"/>
      <c r="K219" s="5"/>
      <c r="L219" s="84">
        <f>I219</f>
        <v>29.948234424056107</v>
      </c>
      <c r="M219" s="5"/>
      <c r="N219" s="5"/>
      <c r="O219" s="5"/>
      <c r="P219" s="5"/>
      <c r="Q219" s="5"/>
    </row>
    <row r="220" spans="1:17" x14ac:dyDescent="0.25">
      <c r="C220" s="17" t="s">
        <v>39</v>
      </c>
      <c r="H220" s="6"/>
      <c r="I220" s="84">
        <v>0</v>
      </c>
      <c r="J220" s="45"/>
      <c r="K220" s="5"/>
      <c r="L220" s="84">
        <f>I220</f>
        <v>0</v>
      </c>
      <c r="M220" s="5"/>
      <c r="N220" s="5"/>
      <c r="O220" s="5"/>
      <c r="P220" s="5"/>
      <c r="Q220" s="5"/>
    </row>
    <row r="221" spans="1:17" x14ac:dyDescent="0.25">
      <c r="C221" s="17" t="s">
        <v>35</v>
      </c>
      <c r="H221" s="6"/>
      <c r="I221" s="84">
        <v>835.5833203558268</v>
      </c>
      <c r="J221" s="45"/>
      <c r="K221" s="5"/>
      <c r="L221" s="84">
        <f>I221</f>
        <v>835.5833203558268</v>
      </c>
      <c r="M221" s="5"/>
      <c r="N221" s="5"/>
      <c r="O221" s="5"/>
      <c r="P221" s="5"/>
      <c r="Q221" s="5"/>
    </row>
    <row r="222" spans="1:17" x14ac:dyDescent="0.25">
      <c r="H222" s="6"/>
      <c r="I222" s="84"/>
      <c r="J222" s="45"/>
      <c r="K222" s="5"/>
      <c r="L222" s="84"/>
      <c r="M222" s="5"/>
      <c r="N222" s="5"/>
      <c r="O222" s="5"/>
      <c r="P222" s="5"/>
      <c r="Q222" s="5"/>
    </row>
    <row r="223" spans="1:17" x14ac:dyDescent="0.25">
      <c r="A223" s="6" t="s">
        <v>119</v>
      </c>
      <c r="B223" s="39" t="s">
        <v>83</v>
      </c>
      <c r="I223" s="56"/>
      <c r="J223" s="56"/>
      <c r="K223" s="5"/>
      <c r="L223" s="56"/>
      <c r="M223" s="5"/>
      <c r="N223" s="5"/>
      <c r="O223" s="5"/>
      <c r="P223" s="5"/>
      <c r="Q223" s="5"/>
    </row>
    <row r="224" spans="1:17" x14ac:dyDescent="0.25">
      <c r="B224" s="40"/>
      <c r="C224" s="17" t="s">
        <v>67</v>
      </c>
      <c r="E224" s="49">
        <v>0</v>
      </c>
      <c r="H224" s="45">
        <v>75</v>
      </c>
      <c r="I224" s="83">
        <f>E224*H224</f>
        <v>0</v>
      </c>
      <c r="J224" s="83"/>
      <c r="K224" s="45">
        <v>75</v>
      </c>
      <c r="L224" s="84">
        <f>E224*K224</f>
        <v>0</v>
      </c>
      <c r="M224" s="5"/>
      <c r="N224" s="5"/>
      <c r="O224" s="5"/>
      <c r="P224" s="5"/>
      <c r="Q224" s="5"/>
    </row>
    <row r="225" spans="1:17" x14ac:dyDescent="0.25">
      <c r="D225" s="90"/>
      <c r="E225" s="100"/>
      <c r="F225" s="100"/>
      <c r="G225" s="54"/>
      <c r="H225" s="6"/>
      <c r="I225" s="6"/>
      <c r="J225" s="6"/>
      <c r="K225" s="5"/>
      <c r="L225" s="72"/>
      <c r="M225" s="5"/>
      <c r="N225" s="5"/>
      <c r="O225" s="5"/>
      <c r="P225" s="5"/>
      <c r="Q225" s="5"/>
    </row>
    <row r="226" spans="1:17" ht="16.5" thickBot="1" x14ac:dyDescent="0.3">
      <c r="B226" s="40" t="s">
        <v>118</v>
      </c>
      <c r="D226" s="90"/>
      <c r="E226" s="100"/>
      <c r="F226" s="100"/>
      <c r="I226" s="55">
        <f>I206+I217+SUM(I219:I221)+I224</f>
        <v>16523.84155477988</v>
      </c>
      <c r="J226" s="56"/>
      <c r="K226" s="5"/>
      <c r="L226" s="55">
        <f>L206+L217+SUM(L219:L221)+L224</f>
        <v>16523.842015460272</v>
      </c>
      <c r="M226" s="5"/>
      <c r="N226" s="5"/>
      <c r="O226" s="5"/>
      <c r="P226" s="5"/>
      <c r="Q226" s="5"/>
    </row>
    <row r="227" spans="1:17" ht="16.5" thickTop="1" x14ac:dyDescent="0.25">
      <c r="B227" s="40"/>
      <c r="D227" s="90"/>
      <c r="E227" s="100"/>
      <c r="F227" s="100"/>
      <c r="I227" s="56"/>
      <c r="J227" s="56"/>
      <c r="K227" s="5"/>
      <c r="L227" s="72"/>
      <c r="M227" s="5"/>
      <c r="N227" s="5"/>
      <c r="O227" s="5"/>
      <c r="P227" s="5"/>
      <c r="Q227" s="5"/>
    </row>
    <row r="228" spans="1:17" x14ac:dyDescent="0.25">
      <c r="C228" s="50" t="s">
        <v>81</v>
      </c>
      <c r="F228" s="108"/>
      <c r="I228" s="1"/>
      <c r="J228" s="1"/>
      <c r="K228" s="1"/>
      <c r="L228" s="72">
        <f>L226-I226</f>
        <v>4.6068039227975532E-4</v>
      </c>
      <c r="M228" s="113"/>
      <c r="N228" s="76"/>
      <c r="O228" s="5"/>
      <c r="P228" s="5"/>
      <c r="Q228" s="5"/>
    </row>
    <row r="229" spans="1:17" x14ac:dyDescent="0.25">
      <c r="C229" s="119"/>
      <c r="F229" s="108"/>
      <c r="H229" s="67"/>
      <c r="I229" s="84"/>
      <c r="J229" s="84"/>
      <c r="K229" s="5"/>
      <c r="L229" s="120">
        <f>L228/I226</f>
        <v>2.7879739148581555E-8</v>
      </c>
      <c r="M229" s="5"/>
      <c r="N229" s="5"/>
      <c r="O229" s="5"/>
      <c r="P229" s="5"/>
      <c r="Q229" s="5"/>
    </row>
    <row r="230" spans="1:17" x14ac:dyDescent="0.25">
      <c r="B230" s="42"/>
      <c r="K230" s="5"/>
      <c r="L230" s="126"/>
      <c r="M230" s="5"/>
      <c r="N230" s="5"/>
      <c r="O230" s="5"/>
      <c r="P230" s="5"/>
      <c r="Q230" s="5"/>
    </row>
    <row r="231" spans="1:17" x14ac:dyDescent="0.25">
      <c r="A231" s="5"/>
      <c r="B231" s="39" t="s">
        <v>124</v>
      </c>
      <c r="K231" s="5"/>
      <c r="L231" s="5"/>
      <c r="M231" s="5"/>
      <c r="N231" s="5"/>
      <c r="O231" s="5"/>
      <c r="P231" s="5"/>
      <c r="Q231" s="5"/>
    </row>
    <row r="232" spans="1:17" x14ac:dyDescent="0.25">
      <c r="B232" s="121"/>
      <c r="K232" s="5"/>
      <c r="L232" s="5"/>
      <c r="M232" s="5"/>
      <c r="N232" s="5"/>
      <c r="O232" s="5"/>
      <c r="P232" s="5"/>
      <c r="Q232" s="5"/>
    </row>
    <row r="233" spans="1:17" x14ac:dyDescent="0.25">
      <c r="A233" s="5"/>
      <c r="B233" s="36" t="s">
        <v>151</v>
      </c>
      <c r="C233" s="115"/>
      <c r="K233" s="5"/>
      <c r="L233" s="5"/>
      <c r="M233" s="5"/>
      <c r="N233" s="5"/>
      <c r="O233" s="5"/>
      <c r="P233" s="5"/>
      <c r="Q233" s="5"/>
    </row>
    <row r="234" spans="1:17" x14ac:dyDescent="0.25">
      <c r="A234" s="5"/>
      <c r="B234" s="36"/>
      <c r="C234" s="62" t="s">
        <v>117</v>
      </c>
      <c r="K234" s="5"/>
      <c r="L234" s="5"/>
      <c r="M234" s="5"/>
      <c r="N234" s="5"/>
      <c r="O234" s="5"/>
      <c r="P234" s="5"/>
      <c r="Q234" s="5"/>
    </row>
    <row r="235" spans="1:17" x14ac:dyDescent="0.25">
      <c r="A235" s="5" t="s">
        <v>101</v>
      </c>
      <c r="B235" s="40"/>
      <c r="C235" s="17" t="s">
        <v>132</v>
      </c>
      <c r="E235" s="49">
        <v>12</v>
      </c>
      <c r="H235" s="45">
        <v>285</v>
      </c>
      <c r="I235" s="72">
        <f>+E235*H235</f>
        <v>3420</v>
      </c>
      <c r="J235" s="72"/>
      <c r="K235" s="45">
        <v>285</v>
      </c>
      <c r="L235" s="72">
        <f>E235*K235</f>
        <v>3420</v>
      </c>
      <c r="M235" s="120"/>
      <c r="N235" s="5"/>
      <c r="O235" s="5"/>
      <c r="P235" s="5"/>
      <c r="Q235" s="5"/>
    </row>
    <row r="236" spans="1:17" x14ac:dyDescent="0.25">
      <c r="A236" s="5"/>
      <c r="C236" s="17" t="s">
        <v>0</v>
      </c>
      <c r="F236" s="49">
        <v>1497.8666049837539</v>
      </c>
      <c r="H236" s="67">
        <v>0.36</v>
      </c>
      <c r="I236" s="72">
        <f>F236*H236</f>
        <v>539.23197779415136</v>
      </c>
      <c r="J236" s="72"/>
      <c r="K236" s="47">
        <v>0.36030000000000001</v>
      </c>
      <c r="L236" s="72">
        <f>F236*K236</f>
        <v>539.68133777564651</v>
      </c>
      <c r="M236" s="120"/>
      <c r="N236" s="5"/>
      <c r="O236" s="5"/>
      <c r="P236" s="79"/>
      <c r="Q236" s="5"/>
    </row>
    <row r="237" spans="1:17" x14ac:dyDescent="0.25">
      <c r="A237" s="5"/>
      <c r="C237" s="73" t="s">
        <v>13</v>
      </c>
      <c r="F237" s="49">
        <v>5112</v>
      </c>
      <c r="H237" s="80">
        <v>6.04</v>
      </c>
      <c r="I237" s="84">
        <f>F237*H237</f>
        <v>30876.48</v>
      </c>
      <c r="J237" s="84"/>
      <c r="K237" s="211">
        <v>6.58</v>
      </c>
      <c r="L237" s="74">
        <f>F237*K237</f>
        <v>33636.959999999999</v>
      </c>
      <c r="M237" s="120"/>
      <c r="N237" s="5"/>
      <c r="O237" s="5"/>
      <c r="P237" s="5"/>
      <c r="Q237" s="5"/>
    </row>
    <row r="238" spans="1:17" x14ac:dyDescent="0.25">
      <c r="A238" s="5"/>
      <c r="C238" s="99" t="s">
        <v>25</v>
      </c>
      <c r="F238" s="102"/>
      <c r="H238" s="47"/>
      <c r="I238" s="104">
        <f>SUM(I235:I237)</f>
        <v>34835.711977794148</v>
      </c>
      <c r="J238" s="72"/>
      <c r="K238" s="47"/>
      <c r="L238" s="104">
        <f>SUM(L235:L237)</f>
        <v>37596.641337775647</v>
      </c>
      <c r="M238" s="5"/>
      <c r="N238" s="5"/>
      <c r="O238" s="5"/>
      <c r="P238" s="5"/>
      <c r="Q238" s="5"/>
    </row>
    <row r="239" spans="1:17" x14ac:dyDescent="0.25">
      <c r="A239" s="5"/>
      <c r="C239" s="40"/>
      <c r="F239" s="102"/>
      <c r="H239" s="47"/>
      <c r="I239" s="72"/>
      <c r="J239" s="72"/>
      <c r="K239" s="47"/>
      <c r="L239" s="72"/>
      <c r="M239" s="5"/>
      <c r="N239" s="5"/>
      <c r="O239" s="5"/>
      <c r="P239" s="5"/>
      <c r="Q239" s="5"/>
    </row>
    <row r="240" spans="1:17" x14ac:dyDescent="0.25">
      <c r="A240" s="5"/>
      <c r="C240" s="40" t="s">
        <v>87</v>
      </c>
      <c r="F240" s="102"/>
      <c r="G240" s="41" t="s">
        <v>107</v>
      </c>
      <c r="H240" s="51">
        <v>1</v>
      </c>
      <c r="I240" s="104">
        <f>I238/H240</f>
        <v>34835.711977794148</v>
      </c>
      <c r="J240" s="72"/>
      <c r="K240" s="103">
        <f>H240</f>
        <v>1</v>
      </c>
      <c r="L240" s="104">
        <f>L238/K240</f>
        <v>37596.641337775647</v>
      </c>
      <c r="M240" s="5"/>
      <c r="N240" s="5"/>
      <c r="O240" s="5"/>
      <c r="P240" s="5"/>
      <c r="Q240" s="5"/>
    </row>
    <row r="241" spans="1:17" x14ac:dyDescent="0.25">
      <c r="A241" s="5"/>
      <c r="F241" s="102"/>
      <c r="H241" s="47"/>
      <c r="I241" s="72"/>
      <c r="J241" s="72"/>
      <c r="K241" s="47"/>
      <c r="L241" s="72"/>
      <c r="M241" s="5"/>
      <c r="N241" s="5"/>
      <c r="O241" s="5"/>
      <c r="P241" s="5"/>
      <c r="Q241" s="5"/>
    </row>
    <row r="242" spans="1:17" x14ac:dyDescent="0.25">
      <c r="A242" s="5"/>
      <c r="C242" s="17" t="s">
        <v>38</v>
      </c>
      <c r="F242" s="108"/>
      <c r="H242" s="6"/>
      <c r="I242" s="84">
        <v>6210.1068295250452</v>
      </c>
      <c r="J242" s="45"/>
      <c r="K242" s="5"/>
      <c r="L242" s="84">
        <f>I242</f>
        <v>6210.1068295250452</v>
      </c>
      <c r="M242" s="5"/>
      <c r="N242" s="5"/>
      <c r="O242" s="5"/>
      <c r="P242" s="5"/>
      <c r="Q242" s="5"/>
    </row>
    <row r="243" spans="1:17" x14ac:dyDescent="0.25">
      <c r="A243" s="5"/>
      <c r="C243" s="17" t="s">
        <v>39</v>
      </c>
      <c r="H243" s="6"/>
      <c r="I243" s="84">
        <v>74.720687149941099</v>
      </c>
      <c r="J243" s="45"/>
      <c r="K243" s="5"/>
      <c r="L243" s="84">
        <f>I243</f>
        <v>74.720687149941099</v>
      </c>
      <c r="M243" s="5"/>
      <c r="N243" s="5"/>
      <c r="O243" s="5"/>
      <c r="P243" s="5"/>
      <c r="Q243" s="5"/>
    </row>
    <row r="244" spans="1:17" x14ac:dyDescent="0.25">
      <c r="A244" s="5"/>
      <c r="C244" s="17" t="s">
        <v>35</v>
      </c>
      <c r="I244" s="84">
        <v>2345.8732430380942</v>
      </c>
      <c r="J244" s="84"/>
      <c r="K244" s="5"/>
      <c r="L244" s="84">
        <f>I244</f>
        <v>2345.8732430380942</v>
      </c>
      <c r="M244" s="5"/>
      <c r="N244" s="5"/>
      <c r="O244" s="5"/>
      <c r="P244" s="5"/>
      <c r="Q244" s="5"/>
    </row>
    <row r="245" spans="1:17" x14ac:dyDescent="0.25">
      <c r="A245" s="5"/>
      <c r="I245" s="84"/>
      <c r="J245" s="84"/>
      <c r="K245" s="5"/>
      <c r="L245" s="5"/>
      <c r="M245" s="5"/>
      <c r="N245" s="5"/>
      <c r="O245" s="5"/>
      <c r="P245" s="5"/>
      <c r="Q245" s="5"/>
    </row>
    <row r="246" spans="1:17" ht="16.5" thickBot="1" x14ac:dyDescent="0.3">
      <c r="A246" s="5"/>
      <c r="B246" s="40" t="s">
        <v>120</v>
      </c>
      <c r="F246" s="108"/>
      <c r="I246" s="112">
        <f>SUM(I240:I244)</f>
        <v>43466.412737507228</v>
      </c>
      <c r="J246" s="72"/>
      <c r="K246" s="5"/>
      <c r="L246" s="112">
        <f>SUM(L240:L244)</f>
        <v>46227.342097488727</v>
      </c>
      <c r="M246" s="5"/>
      <c r="N246" s="76"/>
      <c r="O246" s="5"/>
      <c r="P246" s="5"/>
      <c r="Q246" s="5"/>
    </row>
    <row r="247" spans="1:17" ht="16.5" thickTop="1" x14ac:dyDescent="0.25">
      <c r="A247" s="5"/>
      <c r="C247" s="119"/>
      <c r="F247" s="108"/>
      <c r="H247" s="67"/>
      <c r="I247" s="84"/>
      <c r="J247" s="84"/>
      <c r="K247" s="5"/>
      <c r="L247" s="5"/>
      <c r="M247" s="5"/>
      <c r="N247" s="5"/>
      <c r="O247" s="5"/>
      <c r="P247" s="5"/>
      <c r="Q247" s="5"/>
    </row>
    <row r="248" spans="1:17" x14ac:dyDescent="0.25">
      <c r="A248" s="5"/>
      <c r="C248" s="50" t="s">
        <v>81</v>
      </c>
      <c r="F248" s="108"/>
      <c r="H248" s="67"/>
      <c r="I248" s="6"/>
      <c r="J248" s="6"/>
      <c r="K248" s="5"/>
      <c r="L248" s="72">
        <f>L246-I246</f>
        <v>2760.9293599814991</v>
      </c>
      <c r="M248" s="60"/>
      <c r="N248" s="5"/>
      <c r="O248" s="5"/>
      <c r="P248" s="5"/>
      <c r="Q248" s="5"/>
    </row>
    <row r="249" spans="1:17" x14ac:dyDescent="0.25">
      <c r="A249" s="5"/>
      <c r="B249" s="6"/>
      <c r="C249" s="6"/>
      <c r="D249" s="6"/>
      <c r="E249" s="54"/>
      <c r="F249" s="54"/>
      <c r="G249" s="54"/>
      <c r="H249" s="6"/>
      <c r="J249" s="84"/>
      <c r="K249" s="5"/>
      <c r="L249" s="120">
        <f>IF(L248=0,0,L248/I246)</f>
        <v>6.3518684568121472E-2</v>
      </c>
      <c r="M249" s="61"/>
      <c r="N249" s="5"/>
      <c r="O249" s="5"/>
      <c r="P249" s="5"/>
      <c r="Q249" s="5"/>
    </row>
    <row r="250" spans="1:17" x14ac:dyDescent="0.25">
      <c r="A250" s="5"/>
      <c r="B250" s="6"/>
      <c r="C250" s="6"/>
      <c r="D250" s="6"/>
      <c r="E250" s="54"/>
      <c r="F250" s="54"/>
      <c r="G250" s="54"/>
      <c r="H250" s="6"/>
      <c r="J250" s="84"/>
      <c r="K250" s="5"/>
      <c r="L250" s="126"/>
      <c r="M250" s="5"/>
      <c r="N250" s="5"/>
      <c r="O250" s="5"/>
      <c r="P250" s="5"/>
      <c r="Q250" s="5"/>
    </row>
    <row r="251" spans="1:17" x14ac:dyDescent="0.25">
      <c r="A251" s="5"/>
      <c r="B251" s="39" t="s">
        <v>125</v>
      </c>
      <c r="K251" s="5"/>
      <c r="L251" s="5"/>
      <c r="M251" s="5"/>
      <c r="N251" s="5"/>
      <c r="O251" s="5"/>
      <c r="P251" s="5"/>
      <c r="Q251" s="5"/>
    </row>
    <row r="252" spans="1:17" x14ac:dyDescent="0.25">
      <c r="B252" s="121"/>
      <c r="K252" s="5"/>
      <c r="L252" s="5"/>
      <c r="M252" s="5"/>
      <c r="N252" s="5"/>
      <c r="O252" s="5"/>
      <c r="P252" s="5"/>
      <c r="Q252" s="5"/>
    </row>
    <row r="253" spans="1:17" x14ac:dyDescent="0.25">
      <c r="A253" s="5"/>
      <c r="B253" s="36" t="s">
        <v>152</v>
      </c>
      <c r="C253" s="115"/>
      <c r="K253" s="5"/>
      <c r="L253" s="5"/>
      <c r="M253" s="5"/>
      <c r="N253" s="5"/>
      <c r="O253" s="5"/>
      <c r="P253" s="5"/>
      <c r="Q253" s="5"/>
    </row>
    <row r="254" spans="1:17" x14ac:dyDescent="0.25">
      <c r="A254" s="5"/>
      <c r="B254" s="36"/>
      <c r="C254" s="62" t="s">
        <v>117</v>
      </c>
      <c r="K254" s="5"/>
      <c r="L254" s="5"/>
      <c r="M254" s="5"/>
      <c r="N254" s="5"/>
      <c r="O254" s="5"/>
      <c r="P254" s="5"/>
      <c r="Q254" s="5"/>
    </row>
    <row r="255" spans="1:17" x14ac:dyDescent="0.25">
      <c r="A255" s="5" t="s">
        <v>102</v>
      </c>
      <c r="C255" s="17" t="s">
        <v>132</v>
      </c>
      <c r="E255" s="49">
        <v>0</v>
      </c>
      <c r="F255" s="108"/>
      <c r="H255" s="45">
        <v>750</v>
      </c>
      <c r="I255" s="72">
        <f>+E255*H255</f>
        <v>0</v>
      </c>
      <c r="J255" s="72"/>
      <c r="K255" s="45">
        <f>H255</f>
        <v>750</v>
      </c>
      <c r="L255" s="72">
        <f>E255*K255</f>
        <v>0</v>
      </c>
      <c r="M255" s="5"/>
      <c r="N255" s="5"/>
      <c r="O255" s="5"/>
      <c r="P255" s="5"/>
      <c r="Q255" s="5"/>
    </row>
    <row r="256" spans="1:17" x14ac:dyDescent="0.25">
      <c r="A256" s="5"/>
      <c r="C256" s="17" t="s">
        <v>0</v>
      </c>
      <c r="F256" s="49">
        <v>0</v>
      </c>
      <c r="H256" s="47">
        <v>0.29919999999999997</v>
      </c>
      <c r="I256" s="72">
        <f>F256*H256</f>
        <v>0</v>
      </c>
      <c r="K256" s="47">
        <f>H256</f>
        <v>0.29919999999999997</v>
      </c>
      <c r="L256" s="72">
        <f>F256*K256</f>
        <v>0</v>
      </c>
      <c r="M256" s="5"/>
      <c r="N256" s="5"/>
      <c r="O256" s="5"/>
      <c r="P256" s="5"/>
      <c r="Q256" s="5"/>
    </row>
    <row r="257" spans="1:17" x14ac:dyDescent="0.25">
      <c r="A257" s="5"/>
      <c r="C257" s="73" t="s">
        <v>13</v>
      </c>
      <c r="F257" s="49">
        <v>0</v>
      </c>
      <c r="H257" s="80">
        <v>10.9</v>
      </c>
      <c r="I257" s="74">
        <f>F257*H257</f>
        <v>0</v>
      </c>
      <c r="J257" s="72"/>
      <c r="K257" s="80">
        <f>H257</f>
        <v>10.9</v>
      </c>
      <c r="L257" s="74">
        <f>F257*K257</f>
        <v>0</v>
      </c>
      <c r="M257" s="5"/>
      <c r="N257" s="5"/>
      <c r="O257" s="5"/>
      <c r="P257" s="5"/>
      <c r="Q257" s="5"/>
    </row>
    <row r="258" spans="1:17" x14ac:dyDescent="0.25">
      <c r="A258" s="5"/>
      <c r="C258" s="99" t="s">
        <v>25</v>
      </c>
      <c r="F258" s="102"/>
      <c r="H258" s="47"/>
      <c r="I258" s="104">
        <f>SUM(I255:I257)</f>
        <v>0</v>
      </c>
      <c r="J258" s="72"/>
      <c r="K258" s="47"/>
      <c r="L258" s="104">
        <f>SUM(L255:L257)</f>
        <v>0</v>
      </c>
      <c r="M258" s="5"/>
      <c r="N258" s="5"/>
      <c r="O258" s="5"/>
      <c r="P258" s="5"/>
      <c r="Q258" s="5"/>
    </row>
    <row r="259" spans="1:17" x14ac:dyDescent="0.25">
      <c r="A259" s="5"/>
      <c r="C259" s="40"/>
      <c r="F259" s="102"/>
      <c r="H259" s="47"/>
      <c r="I259" s="72"/>
      <c r="J259" s="72"/>
      <c r="K259" s="47"/>
      <c r="L259" s="72"/>
      <c r="M259" s="5"/>
      <c r="N259" s="5"/>
      <c r="O259" s="5"/>
      <c r="P259" s="5"/>
      <c r="Q259" s="5"/>
    </row>
    <row r="260" spans="1:17" x14ac:dyDescent="0.25">
      <c r="A260" s="5"/>
      <c r="C260" s="40" t="s">
        <v>87</v>
      </c>
      <c r="F260" s="102"/>
      <c r="G260" s="41" t="s">
        <v>107</v>
      </c>
      <c r="H260" s="51">
        <v>0</v>
      </c>
      <c r="I260" s="104">
        <f>IF(H260=0,0,I258/H260)</f>
        <v>0</v>
      </c>
      <c r="J260" s="72"/>
      <c r="K260" s="103">
        <f>H260</f>
        <v>0</v>
      </c>
      <c r="L260" s="104">
        <f>IF(K260=0,0,L258/K260)</f>
        <v>0</v>
      </c>
      <c r="M260" s="5"/>
      <c r="N260" s="5"/>
      <c r="O260" s="5"/>
      <c r="P260" s="5"/>
      <c r="Q260" s="5"/>
    </row>
    <row r="261" spans="1:17" x14ac:dyDescent="0.25">
      <c r="A261" s="5"/>
      <c r="F261" s="102"/>
      <c r="H261" s="47"/>
      <c r="I261" s="72"/>
      <c r="J261" s="72"/>
      <c r="K261" s="47"/>
      <c r="L261" s="72"/>
      <c r="M261" s="5"/>
      <c r="N261" s="5"/>
      <c r="O261" s="5"/>
      <c r="P261" s="5"/>
      <c r="Q261" s="5"/>
    </row>
    <row r="262" spans="1:17" x14ac:dyDescent="0.25">
      <c r="A262" s="5"/>
      <c r="C262" s="17" t="s">
        <v>38</v>
      </c>
      <c r="F262" s="108"/>
      <c r="H262" s="6"/>
      <c r="I262" s="84">
        <v>0</v>
      </c>
      <c r="J262" s="45"/>
      <c r="K262" s="5"/>
      <c r="L262" s="84">
        <f>I262</f>
        <v>0</v>
      </c>
      <c r="M262" s="5"/>
      <c r="N262" s="5"/>
      <c r="O262" s="5"/>
      <c r="P262" s="5"/>
      <c r="Q262" s="5"/>
    </row>
    <row r="263" spans="1:17" x14ac:dyDescent="0.25">
      <c r="A263" s="5"/>
      <c r="C263" s="17" t="s">
        <v>39</v>
      </c>
      <c r="H263" s="6"/>
      <c r="I263" s="84">
        <v>0</v>
      </c>
      <c r="J263" s="45"/>
      <c r="K263" s="5"/>
      <c r="L263" s="84">
        <f>I263</f>
        <v>0</v>
      </c>
      <c r="M263" s="5"/>
      <c r="N263" s="5"/>
      <c r="O263" s="5"/>
      <c r="P263" s="5"/>
      <c r="Q263" s="5"/>
    </row>
    <row r="264" spans="1:17" x14ac:dyDescent="0.25">
      <c r="A264" s="5"/>
      <c r="C264" s="17" t="s">
        <v>35</v>
      </c>
      <c r="I264" s="84">
        <v>0</v>
      </c>
      <c r="J264" s="84"/>
      <c r="K264" s="5"/>
      <c r="L264" s="84">
        <f>I264</f>
        <v>0</v>
      </c>
      <c r="M264" s="5"/>
      <c r="N264" s="5"/>
      <c r="O264" s="5"/>
      <c r="P264" s="5"/>
      <c r="Q264" s="5"/>
    </row>
    <row r="265" spans="1:17" x14ac:dyDescent="0.25">
      <c r="A265" s="5"/>
      <c r="I265" s="84"/>
      <c r="J265" s="84"/>
      <c r="K265" s="5"/>
      <c r="L265" s="5"/>
      <c r="M265" s="5"/>
      <c r="N265" s="5"/>
      <c r="O265" s="5"/>
      <c r="P265" s="5"/>
      <c r="Q265" s="5"/>
    </row>
    <row r="266" spans="1:17" ht="16.5" thickBot="1" x14ac:dyDescent="0.3">
      <c r="A266" s="5"/>
      <c r="B266" s="40" t="s">
        <v>120</v>
      </c>
      <c r="F266" s="108"/>
      <c r="I266" s="112">
        <f>SUM(I260:I264)</f>
        <v>0</v>
      </c>
      <c r="J266" s="72"/>
      <c r="K266" s="5"/>
      <c r="L266" s="112">
        <f>SUM(L260:L264)</f>
        <v>0</v>
      </c>
      <c r="M266" s="5"/>
      <c r="N266" s="5"/>
      <c r="O266" s="5"/>
      <c r="P266" s="5"/>
      <c r="Q266" s="5"/>
    </row>
    <row r="267" spans="1:17" ht="16.5" thickTop="1" x14ac:dyDescent="0.25">
      <c r="A267" s="5"/>
      <c r="C267" s="119"/>
      <c r="F267" s="108"/>
      <c r="H267" s="67"/>
      <c r="I267" s="84"/>
      <c r="J267" s="84"/>
      <c r="K267" s="5"/>
      <c r="L267" s="5"/>
      <c r="M267" s="5"/>
      <c r="N267" s="5"/>
      <c r="O267" s="5"/>
      <c r="P267" s="5"/>
      <c r="Q267" s="5"/>
    </row>
    <row r="268" spans="1:17" x14ac:dyDescent="0.25">
      <c r="A268" s="5"/>
      <c r="C268" s="50" t="s">
        <v>81</v>
      </c>
      <c r="F268" s="108"/>
      <c r="H268" s="67"/>
      <c r="I268" s="6"/>
      <c r="J268" s="6"/>
      <c r="K268" s="5"/>
      <c r="L268" s="72">
        <f>L266-I266</f>
        <v>0</v>
      </c>
      <c r="M268" s="5"/>
      <c r="N268" s="5"/>
      <c r="O268" s="5"/>
      <c r="P268" s="5"/>
      <c r="Q268" s="5"/>
    </row>
    <row r="269" spans="1:17" x14ac:dyDescent="0.25">
      <c r="A269" s="5"/>
      <c r="C269" s="50"/>
      <c r="F269" s="108"/>
      <c r="H269" s="67"/>
      <c r="I269" s="6"/>
      <c r="J269" s="6"/>
      <c r="K269" s="5"/>
      <c r="L269" s="120">
        <f>IF(I266=0,0,L268/I266)</f>
        <v>0</v>
      </c>
      <c r="M269" s="5"/>
      <c r="N269" s="5"/>
      <c r="O269" s="5"/>
      <c r="P269" s="5"/>
      <c r="Q269" s="5"/>
    </row>
    <row r="270" spans="1:17" x14ac:dyDescent="0.25">
      <c r="A270" s="5"/>
      <c r="B270" s="6"/>
      <c r="C270" s="6"/>
      <c r="D270" s="6"/>
      <c r="E270" s="54"/>
      <c r="F270" s="54"/>
      <c r="G270" s="54"/>
      <c r="H270" s="6"/>
      <c r="J270" s="84"/>
      <c r="K270" s="5"/>
      <c r="L270" s="126"/>
      <c r="M270" s="5"/>
      <c r="N270" s="5"/>
      <c r="O270" s="5"/>
      <c r="P270" s="5"/>
      <c r="Q270" s="5"/>
    </row>
    <row r="271" spans="1:17" x14ac:dyDescent="0.25">
      <c r="A271" s="5"/>
      <c r="B271" s="39" t="s">
        <v>96</v>
      </c>
      <c r="K271" s="5"/>
      <c r="L271" s="5"/>
      <c r="M271" s="5"/>
      <c r="N271" s="5"/>
      <c r="O271" s="5"/>
      <c r="P271" s="5"/>
      <c r="Q271" s="5"/>
    </row>
    <row r="272" spans="1:17" x14ac:dyDescent="0.25">
      <c r="A272" s="5"/>
      <c r="B272" s="121"/>
      <c r="K272" s="5"/>
      <c r="L272" s="5"/>
      <c r="M272" s="5"/>
      <c r="N272" s="5"/>
      <c r="O272" s="5"/>
      <c r="P272" s="5"/>
      <c r="Q272" s="5"/>
    </row>
    <row r="273" spans="1:14" x14ac:dyDescent="0.25">
      <c r="A273" s="5" t="s">
        <v>97</v>
      </c>
      <c r="B273" s="36" t="s">
        <v>153</v>
      </c>
      <c r="C273" s="115"/>
      <c r="K273" s="5"/>
      <c r="L273" s="5"/>
      <c r="M273" s="5"/>
      <c r="N273" s="5"/>
    </row>
    <row r="274" spans="1:14" x14ac:dyDescent="0.25">
      <c r="A274" s="5"/>
      <c r="C274" s="17" t="s">
        <v>26</v>
      </c>
      <c r="E274" s="53">
        <v>0</v>
      </c>
      <c r="F274" s="108"/>
      <c r="H274" s="45">
        <v>550</v>
      </c>
      <c r="I274" s="72">
        <f>+E274*H274</f>
        <v>0</v>
      </c>
      <c r="J274" s="72"/>
      <c r="K274" s="45">
        <f>K155</f>
        <v>550</v>
      </c>
      <c r="L274" s="72">
        <f>E274*K274</f>
        <v>0</v>
      </c>
      <c r="M274" s="5"/>
      <c r="N274" s="5"/>
    </row>
    <row r="275" spans="1:14" x14ac:dyDescent="0.25">
      <c r="C275" s="62" t="s">
        <v>117</v>
      </c>
    </row>
    <row r="276" spans="1:14" x14ac:dyDescent="0.25">
      <c r="A276" s="5"/>
      <c r="B276" s="40"/>
      <c r="C276" s="17" t="s">
        <v>132</v>
      </c>
      <c r="E276" s="49">
        <v>0</v>
      </c>
      <c r="H276" s="45">
        <v>1310</v>
      </c>
      <c r="I276" s="72">
        <f>+E276*H276</f>
        <v>0</v>
      </c>
      <c r="J276" s="72"/>
      <c r="K276" s="45">
        <f>K157</f>
        <v>750</v>
      </c>
      <c r="L276" s="72">
        <f>E276*K276</f>
        <v>0</v>
      </c>
      <c r="M276" s="5"/>
      <c r="N276" s="5"/>
    </row>
    <row r="277" spans="1:14" x14ac:dyDescent="0.25">
      <c r="C277" s="59" t="s">
        <v>106</v>
      </c>
      <c r="F277" s="49">
        <v>0</v>
      </c>
      <c r="H277" s="67">
        <v>3.8800000000000001E-2</v>
      </c>
      <c r="I277" s="72">
        <f>F277*H277</f>
        <v>0</v>
      </c>
      <c r="J277" s="72"/>
      <c r="K277" s="67">
        <f t="shared" ref="K277:K278" si="4">K158</f>
        <v>3.7999999999999999E-2</v>
      </c>
      <c r="L277" s="72">
        <f>F277*K277</f>
        <v>0</v>
      </c>
    </row>
    <row r="278" spans="1:14" x14ac:dyDescent="0.25">
      <c r="C278" s="73" t="s">
        <v>13</v>
      </c>
      <c r="F278" s="49">
        <v>0</v>
      </c>
      <c r="H278" s="80">
        <v>2.5700000000000003</v>
      </c>
      <c r="I278" s="74">
        <f>F278*H278</f>
        <v>0</v>
      </c>
      <c r="J278" s="72"/>
      <c r="K278" s="80">
        <f t="shared" si="4"/>
        <v>4.8899999999999997</v>
      </c>
      <c r="L278" s="74">
        <f>F278*K278</f>
        <v>0</v>
      </c>
    </row>
    <row r="279" spans="1:14" x14ac:dyDescent="0.25">
      <c r="C279" s="99" t="s">
        <v>25</v>
      </c>
      <c r="F279" s="102"/>
      <c r="H279" s="47"/>
      <c r="I279" s="104">
        <f>SUM(I274:I278)</f>
        <v>0</v>
      </c>
      <c r="J279" s="72"/>
      <c r="K279" s="47"/>
      <c r="L279" s="104">
        <f>SUM(L274:L278)</f>
        <v>0</v>
      </c>
    </row>
    <row r="280" spans="1:14" x14ac:dyDescent="0.25">
      <c r="C280" s="40"/>
      <c r="F280" s="102"/>
      <c r="H280" s="47"/>
      <c r="I280" s="72"/>
      <c r="J280" s="72"/>
      <c r="K280" s="47"/>
      <c r="L280" s="72"/>
    </row>
    <row r="281" spans="1:14" x14ac:dyDescent="0.25">
      <c r="C281" s="40" t="s">
        <v>87</v>
      </c>
      <c r="F281" s="102"/>
      <c r="G281" s="41" t="s">
        <v>107</v>
      </c>
      <c r="H281" s="51">
        <v>0</v>
      </c>
      <c r="I281" s="212">
        <f>IF(I279=0,0,I279/H281)</f>
        <v>0</v>
      </c>
      <c r="J281" s="72"/>
      <c r="K281" s="103">
        <f>H281</f>
        <v>0</v>
      </c>
      <c r="L281" s="212">
        <f>IF(L279=0,0,L279/K281)</f>
        <v>0</v>
      </c>
    </row>
    <row r="282" spans="1:14" x14ac:dyDescent="0.25">
      <c r="F282" s="102"/>
      <c r="H282" s="47"/>
      <c r="I282" s="72"/>
      <c r="J282" s="72"/>
      <c r="K282" s="47"/>
      <c r="L282" s="72"/>
    </row>
    <row r="283" spans="1:14" x14ac:dyDescent="0.25">
      <c r="C283" s="17" t="s">
        <v>38</v>
      </c>
      <c r="F283" s="102"/>
      <c r="H283" s="47"/>
      <c r="I283" s="84">
        <v>0</v>
      </c>
      <c r="J283" s="72"/>
      <c r="K283" s="47"/>
      <c r="L283" s="72">
        <f>I283</f>
        <v>0</v>
      </c>
    </row>
    <row r="284" spans="1:14" x14ac:dyDescent="0.25">
      <c r="C284" s="17" t="s">
        <v>39</v>
      </c>
      <c r="F284" s="102"/>
      <c r="H284" s="47"/>
      <c r="I284" s="84">
        <v>0</v>
      </c>
      <c r="J284" s="72"/>
      <c r="K284" s="47"/>
      <c r="L284" s="72">
        <f>I284</f>
        <v>0</v>
      </c>
    </row>
    <row r="285" spans="1:14" x14ac:dyDescent="0.25">
      <c r="C285" s="17" t="s">
        <v>35</v>
      </c>
      <c r="I285" s="84">
        <v>0</v>
      </c>
      <c r="J285" s="84"/>
      <c r="K285" s="5"/>
      <c r="L285" s="84">
        <f>I285</f>
        <v>0</v>
      </c>
    </row>
    <row r="286" spans="1:14" x14ac:dyDescent="0.25">
      <c r="I286" s="84"/>
      <c r="J286" s="84"/>
      <c r="K286" s="5"/>
      <c r="L286" s="5"/>
    </row>
    <row r="287" spans="1:14" ht="16.5" thickBot="1" x14ac:dyDescent="0.3">
      <c r="B287" s="40" t="s">
        <v>121</v>
      </c>
      <c r="C287" s="42"/>
      <c r="F287" s="108"/>
      <c r="I287" s="112">
        <f>SUM(I281:I285)</f>
        <v>0</v>
      </c>
      <c r="J287" s="72"/>
      <c r="K287" s="5"/>
      <c r="L287" s="112">
        <f>SUM(L281:L285)</f>
        <v>0</v>
      </c>
    </row>
    <row r="288" spans="1:14" ht="16.5" thickTop="1" x14ac:dyDescent="0.25">
      <c r="C288" s="119"/>
      <c r="F288" s="108"/>
      <c r="H288" s="67"/>
      <c r="I288" s="84"/>
      <c r="J288" s="84"/>
      <c r="K288" s="5"/>
      <c r="L288" s="5"/>
    </row>
    <row r="289" spans="2:12" x14ac:dyDescent="0.25">
      <c r="C289" s="50" t="s">
        <v>81</v>
      </c>
      <c r="F289" s="108"/>
      <c r="H289" s="67"/>
      <c r="I289" s="6"/>
      <c r="J289" s="6"/>
      <c r="K289" s="5"/>
      <c r="L289" s="72">
        <f>L287-I287</f>
        <v>0</v>
      </c>
    </row>
    <row r="290" spans="2:12" x14ac:dyDescent="0.25">
      <c r="B290" s="6"/>
      <c r="C290" s="6"/>
      <c r="D290" s="6"/>
      <c r="E290" s="54"/>
      <c r="F290" s="54"/>
      <c r="G290" s="54"/>
      <c r="H290" s="6"/>
      <c r="J290" s="84"/>
      <c r="K290" s="5"/>
      <c r="L290" s="120">
        <f>IF(L289=0,0,L289/I287)</f>
        <v>0</v>
      </c>
    </row>
    <row r="293" spans="2:12" x14ac:dyDescent="0.25">
      <c r="I293" s="44"/>
    </row>
    <row r="296" spans="2:12" x14ac:dyDescent="0.25">
      <c r="I296" s="72"/>
    </row>
  </sheetData>
  <dataConsolidate/>
  <mergeCells count="6">
    <mergeCell ref="K11:L11"/>
    <mergeCell ref="B1:L1"/>
    <mergeCell ref="B2:L2"/>
    <mergeCell ref="B3:L3"/>
    <mergeCell ref="B4:L4"/>
    <mergeCell ref="B5:L5"/>
  </mergeCells>
  <printOptions horizontalCentered="1"/>
  <pageMargins left="0.75" right="0.75" top="1.75" bottom="0.5" header="0.75" footer="0.25"/>
  <pageSetup scale="50" fitToWidth="0" fitToHeight="0" orientation="landscape" r:id="rId1"/>
  <headerFooter>
    <oddFooter>&amp;R&amp;"-,Bold"&amp;14Stipulation Exibit 5
Page &amp;P of &amp;N</oddFooter>
  </headerFooter>
  <rowBreaks count="9" manualBreakCount="9">
    <brk id="35" min="1" max="11" man="1"/>
    <brk id="78" min="1" max="11" man="1"/>
    <brk id="119" min="1" max="11" man="1"/>
    <brk id="150" min="1" max="11" man="1"/>
    <brk id="174" min="1" max="11" man="1"/>
    <brk id="194" min="1" max="11" man="1"/>
    <brk id="229" max="16383" man="1"/>
    <brk id="249" max="16383" man="1"/>
    <brk id="269" max="16383" man="1"/>
  </rowBreaks>
  <colBreaks count="1" manualBreakCount="1">
    <brk id="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mpany xmlns="54fcda00-7b58-44a7-b108-8bd10a8a08ba">
      <Value>LGE</Value>
    </Company>
    <Tariff_x0020_Dev_x0020_Doc_x0020_Type xmlns="54fcda00-7b58-44a7-b108-8bd10a8a08ba" xsi:nil="true"/>
    <Filing_x0020_Requirement xmlns="54fcda00-7b58-44a7-b108-8bd10a8a08ba" xsi:nil="true"/>
    <Round xmlns="54fcda00-7b58-44a7-b108-8bd10a8a08ba">Post Hearing DR01 Attachments</Round>
    <Data_x0020_Request_x0020_Question_x0020_No_x002e_ xmlns="54fcda00-7b58-44a7-b108-8bd10a8a08ba">013</Data_x0020_Request_x0020_Question_x0020_No_x002e_>
    <Year xmlns="54fcda00-7b58-44a7-b108-8bd10a8a08ba">2018</Year>
    <Document_x0020_Type xmlns="54fcda00-7b58-44a7-b108-8bd10a8a08ba">Data Requests</Document_x0020_Type>
    <Witness_x0020_Testimony xmlns="54fcda00-7b58-44a7-b108-8bd10a8a08ba">Seelye, Steve (The Prime Group)</Witness_x0020_Testimony>
    <Intervemprs xmlns="54fcda00-7b58-44a7-b108-8bd10a8a08ba">KY Public Service Commission - PSC</Intervemprs>
    <Filed_x0020_Documents xmlns="54fcda00-7b58-44a7-b108-8bd10a8a08b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D0103853DF7894DB347713A7250CD66" ma:contentTypeVersion="34" ma:contentTypeDescription="Create a new document." ma:contentTypeScope="" ma:versionID="564212c8433631898006002af8bdbbd4">
  <xsd:schema xmlns:xsd="http://www.w3.org/2001/XMLSchema" xmlns:xs="http://www.w3.org/2001/XMLSchema" xmlns:p="http://schemas.microsoft.com/office/2006/metadata/properties" xmlns:ns2="54fcda00-7b58-44a7-b108-8bd10a8a08ba" targetNamespace="http://schemas.microsoft.com/office/2006/metadata/properties" ma:root="true" ma:fieldsID="82c124d73ee730d260d5c3ee21523c0c" ns2:_="">
    <xsd:import namespace="54fcda00-7b58-44a7-b108-8bd10a8a08ba"/>
    <xsd:element name="properties">
      <xsd:complexType>
        <xsd:sequence>
          <xsd:element name="documentManagement">
            <xsd:complexType>
              <xsd:all>
                <xsd:element ref="ns2:Company" minOccurs="0"/>
                <xsd:element ref="ns2:Year"/>
                <xsd:element ref="ns2:Document_x0020_Type"/>
                <xsd:element ref="ns2:Filing_x0020_Requirement" minOccurs="0"/>
                <xsd:element ref="ns2:Witness_x0020_Testimony" minOccurs="0"/>
                <xsd:element ref="ns2:Intervemprs" minOccurs="0"/>
                <xsd:element ref="ns2:Round" minOccurs="0"/>
                <xsd:element ref="ns2:Data_x0020_Request_x0020_Question_x0020_No_x002e_" minOccurs="0"/>
                <xsd:element ref="ns2:Tariff_x0020_Dev_x0020_Doc_x0020_Type" minOccurs="0"/>
                <xsd:element ref="ns2:Filed_x0020_Docu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fcda00-7b58-44a7-b108-8bd10a8a08ba" elementFormDefault="qualified">
    <xsd:import namespace="http://schemas.microsoft.com/office/2006/documentManagement/types"/>
    <xsd:import namespace="http://schemas.microsoft.com/office/infopath/2007/PartnerControls"/>
    <xsd:element name="Company" ma:index="2" nillable="true" ma:displayName="Company" ma:internalName="Company" ma:readOnly="false" ma:requiredMultiChoice="true">
      <xsd:complexType>
        <xsd:complexContent>
          <xsd:extension base="dms:MultiChoice">
            <xsd:sequence>
              <xsd:element name="Value" maxOccurs="unbounded" minOccurs="0" nillable="true">
                <xsd:simpleType>
                  <xsd:restriction base="dms:Choice">
                    <xsd:enumeration value="KU"/>
                    <xsd:enumeration value="LGE"/>
                    <xsd:enumeration value="ODP"/>
                  </xsd:restriction>
                </xsd:simpleType>
              </xsd:element>
            </xsd:sequence>
          </xsd:extension>
        </xsd:complexContent>
      </xsd:complexType>
    </xsd:element>
    <xsd:element name="Year" ma:index="3" ma:displayName="Year" ma:format="Dropdown" ma:indexed="true" ma:internalName="Year" ma:readOnly="false">
      <xsd:simpleType>
        <xsd:restriction base="dms:Choice">
          <xsd:enumeration value="2019"/>
          <xsd:enumeration value="2018"/>
          <xsd:enumeration value="2017"/>
          <xsd:enumeration value="2016"/>
          <xsd:enumeration value="2015"/>
          <xsd:enumeration value="2014"/>
        </xsd:restriction>
      </xsd:simpleType>
    </xsd:element>
    <xsd:element name="Document_x0020_Type" ma:index="4" ma:displayName="Document Type" ma:format="Dropdown" ma:indexed="true" ma:internalName="Document_x0020_Type" ma:readOnly="false">
      <xsd:simpleType>
        <xsd:restriction base="dms:Choice">
          <xsd:enumeration value="General Information"/>
          <xsd:enumeration value="Application"/>
          <xsd:enumeration value="Orders"/>
          <xsd:enumeration value="Direct Testimony"/>
          <xsd:enumeration value="Rebuttal Testimony"/>
          <xsd:enumeration value="Stipulation Testimony"/>
          <xsd:enumeration value="Supplemental Rebuttal Testimony"/>
          <xsd:enumeration value="Intervenor Direct Testimony"/>
          <xsd:enumeration value="Intervenor Supplemental Testimony"/>
          <xsd:enumeration value="Intervenor Data Requests Issued"/>
          <xsd:enumeration value="Intervenor Data Requests Responses"/>
          <xsd:enumeration value="Data Requests"/>
          <xsd:enumeration value="Notices"/>
          <xsd:enumeration value="eFile/Filed Docs"/>
          <xsd:enumeration value="Filing Requirements"/>
          <xsd:enumeration value="Tariff Development"/>
          <xsd:enumeration value="Witness Prep"/>
          <xsd:enumeration value="Superseded"/>
        </xsd:restriction>
      </xsd:simpleType>
    </xsd:element>
    <xsd:element name="Filing_x0020_Requirement" ma:index="5" nillable="true" ma:displayName="Filing Requirement" ma:format="Dropdown" ma:internalName="Filing_x0020_Requirement" ma:readOnly="false">
      <xsd:simpleType>
        <xsd:restriction base="dms:Choice">
          <xsd:enumeration value="Filing Requirements - Draft Responses"/>
          <xsd:enumeration value="Tab 01-Sec 14(2) Attachment Only"/>
          <xsd:enumeration value="Tab 03-Sec 16(1)(b)(2) Attachment Only"/>
          <xsd:enumeration value="Tab 04-Sec 16(1)(b)(3) Attachment Only"/>
          <xsd:enumeration value="Tab 05-Sec 16(1)(b)(4) Attachment Only"/>
          <xsd:enumeration value="Tab 06-Sec 16(1)(b)(5) Attachment Only"/>
          <xsd:enumeration value="Tab 07-Sec 16(2) Attachment Only"/>
          <xsd:enumeration value="Tab 13-Sec 16(6)(f) Attachment Only"/>
          <xsd:enumeration value="Tab 15-Sec 16(7)(b) Attachment Only"/>
          <xsd:enumeration value="Tab 16-Sec 16(7)(c) Attachment Only"/>
          <xsd:enumeration value="Tab 17-Sec 16(7)(d) Attachment Only"/>
          <xsd:enumeration value="Tab 18-Sec 16(7)(e) Attachment Only"/>
          <xsd:enumeration value="Tab 19-Sec 16(7)(f) Attachment Only"/>
          <xsd:enumeration value="Tab 20-Sec 16(7)(g) Attachment Only"/>
          <xsd:enumeration value="Tab 22-Sec 16(7)(h)(1) Attachment Only"/>
          <xsd:enumeration value="Tab 23-Sec 16(7)(h)(2) Attachment Only"/>
          <xsd:enumeration value="Tab 24-Sec 16(7)(h)(3) Attachment Only"/>
          <xsd:enumeration value="Tab 25-Sec 16(7)(h)(4) Attachment Only"/>
          <xsd:enumeration value="Tab 28-Sec 16(7)(h)(7) Attachment Only"/>
          <xsd:enumeration value="Tab 29-Sec 16(7)(h)(8) Attachment Only"/>
          <xsd:enumeration value="Tab 30-Sec 16(7)(h)(9) Attachment Only"/>
          <xsd:enumeration value="Tab 31-Sec 16(7)(h)(10) Attachment Only"/>
          <xsd:enumeration value="Tab 32-Sec 16(7)(h)(11) Attachment Only"/>
          <xsd:enumeration value="Tab 33-Sec 16(7)(h)(12) Attachment Only"/>
          <xsd:enumeration value="Tab 39-Sec 16(7)(i) Attachment Only"/>
          <xsd:enumeration value="Tab 40-Sec 16(7)(j) Attachment Only"/>
          <xsd:enumeration value="Tab 41-Sec 16(7)(k) Attachment Only"/>
          <xsd:enumeration value="Tab 43-Sec 16(7)(m) Attachment Only"/>
          <xsd:enumeration value="Tab 44-Sec 16(7)(n) Attachment Only"/>
          <xsd:enumeration value="Tab 45-Sec 16(7)(o) Attachment Only"/>
          <xsd:enumeration value="Tab 46-Sec 16(7)(p) Attachment Only"/>
          <xsd:enumeration value="Tab 50-Sec 16(7)(t) Attachment Only"/>
          <xsd:enumeration value="Tab 51-Sec 16(7)(u) Attachment Only"/>
          <xsd:enumeration value="Tab 54-Sec 16(8)(a) Attachment Only"/>
          <xsd:enumeration value="Tab 55-Sec 16(8)(b Attachment Only"/>
          <xsd:enumeration value="Tab 56-Sec 16(8)(c) Attachment Only"/>
          <xsd:enumeration value="Tab 57-Sec 16(8)(d) Attachment Only"/>
          <xsd:enumeration value="Tab 58-Sec 16(8)(e) Attachment Only"/>
          <xsd:enumeration value="Tab 59-Sec 16(8)(f) Attachment Only"/>
          <xsd:enumeration value="Tab 60-Sec 16(8)(g) Attachment Only"/>
          <xsd:enumeration value="Tab 61-Sec 16(8)(h) Attachment Only"/>
          <xsd:enumeration value="Tab 62-Sec 16(8)(i) Attachment Only"/>
          <xsd:enumeration value="Tab 63-Sec 16(8)(j) Attachment Only"/>
          <xsd:enumeration value="Tab 64-Sec 16(8)(k) Attachment Only"/>
          <xsd:enumeration value="Tab 66-Sec 16(8)(m) Attachment Only"/>
          <xsd:enumeration value="Tab 67-Sec 16(8)(n) Attachment Only"/>
          <xsd:enumeration value="Filing Requirements - Guidance Sheets"/>
          <xsd:enumeration value="Filing Requirements - Witness/Preparer Assignments"/>
          <xsd:enumeration value="Filing Requirements - eFiled"/>
          <xsd:enumeration value="Exempt Schedules 10_13_20_23_33_40_44-49"/>
          <xsd:enumeration value="Schedule 01-5_8-29_40-Revenue Requirements"/>
          <xsd:enumeration value="Schedule 01-5-Financial Data"/>
          <xsd:enumeration value="Schedule 06-Annual Reports"/>
          <xsd:enumeration value="Schedule 07-Comparative Financial Statements"/>
          <xsd:enumeration value="Schedule 17-Lead/Lag Cash Working Capital Calc - ET"/>
          <xsd:enumeration value="Schedule 27-Lead/Lag Cash Working Capital Calc - Adj."/>
          <xsd:enumeration value="Schedule 29-Workpapers for Adjustments"/>
          <xsd:enumeration value="Schedule 30-Revenue and Expense Analysis"/>
          <xsd:enumeration value="Schedule 31-Advertising"/>
          <xsd:enumeration value="Schedule 32-Storm Damage"/>
          <xsd:enumeration value="Schedule 34-Misc Expenses"/>
          <xsd:enumeration value="Schedule 35-Affiliate Services"/>
          <xsd:enumeration value="Schedule 36-Income Taxes"/>
          <xsd:enumeration value="Schedule 37-Organization"/>
          <xsd:enumeration value="Schedule 38-Changes in Acctg Procedures"/>
          <xsd:enumeration value="Schedule 39-Out of Period"/>
          <xsd:enumeration value="Schedule 40-Cost of Service"/>
          <xsd:enumeration value="Schedule 41-Present and Proposed Tariffs"/>
          <xsd:enumeration value="Schedule 42-Present and Proposed Revenues"/>
          <xsd:enumeration value="Schedule 43-Sample Bills"/>
          <xsd:enumeration value="Schedule 50-Other"/>
        </xsd:restriction>
      </xsd:simpleType>
    </xsd:element>
    <xsd:element name="Witness_x0020_Testimony" ma:index="6" nillable="true" ma:displayName="Witness" ma:format="Dropdown" ma:internalName="Witness_x0020_Testimony" ma:readOnly="false">
      <xsd:simpleType>
        <xsd:restriction base="dms:Choice">
          <xsd:enumeration value="Arbough, Daniel K."/>
          <xsd:enumeration value="Bellar, Lonnie E."/>
          <xsd:enumeration value="Blake, Kent W."/>
          <xsd:enumeration value="Conroy, Robert M."/>
          <xsd:enumeration value="Garrett, Christopher M."/>
          <xsd:enumeration value="Leichty, Douglas A."/>
          <xsd:enumeration value="Lovekamp, Rick E."/>
          <xsd:enumeration value="Malloy, John P."/>
          <xsd:enumeration value="McFarland, Elizabeth J."/>
          <xsd:enumeration value="McKenzie, Adrien M. (FINCAP, Inc.)"/>
          <xsd:enumeration value="Meiman, Greg J."/>
          <xsd:enumeration value="Metts, Heather D."/>
          <xsd:enumeration value="Murphy, J. Clay"/>
          <xsd:enumeration value="Rahn, Derek"/>
          <xsd:enumeration value="Seelye, Steve (The Prime Group)"/>
          <xsd:enumeration value="Sinclair, David S."/>
          <xsd:enumeration value="Spanos, John J. (Gannett Fleming)"/>
          <xsd:enumeration value="Straight, Scott"/>
          <xsd:enumeration value="Thompson, Paul W."/>
          <xsd:enumeration value="Wolfe, John K."/>
          <xsd:enumeration value="z - eFiled/Filed"/>
        </xsd:restriction>
      </xsd:simpleType>
    </xsd:element>
    <xsd:element name="Intervemprs" ma:index="7" nillable="true" ma:displayName="Data Request Party" ma:format="Dropdown" ma:internalName="Intervemprs" ma:readOnly="false">
      <xsd:simpleType>
        <xsd:restriction base="dms:Choice">
          <xsd:enumeration value="0-Data Response Tracking Sheet"/>
          <xsd:enumeration value="KY Public Service Commission - PSC"/>
          <xsd:enumeration value="VA State Corporation Commission - VASCC"/>
          <xsd:enumeration value="Association of Community Ministries - ACM"/>
          <xsd:enumeration value="Attorney General - AG"/>
          <xsd:enumeration value="AT&amp;T"/>
          <xsd:enumeration value="Charter Communications - Charter"/>
          <xsd:enumeration value="Community Action Council - CAC"/>
          <xsd:enumeration value="East Kentucky Power Cooperative - EKPC"/>
          <xsd:enumeration value="JBS Swift &amp; Co - JBS"/>
          <xsd:enumeration value="KY Cable Telecomm. Assn - KCTA"/>
          <xsd:enumeration value="KY Industrial Utility Customers - KIUC"/>
          <xsd:enumeration value="Kentucky League of Cities - KLC"/>
          <xsd:enumeration value="Kroger"/>
          <xsd:enumeration value="Kroger/Wal-Mart"/>
          <xsd:enumeration value="KY School Boards Assn - KSBA"/>
          <xsd:enumeration value="Lexington-Fayette Urban County Govt - LFUCG"/>
          <xsd:enumeration value="Louisville Metro Government - METRO"/>
          <xsd:enumeration value="Metro. Housing Coalition - MHC"/>
          <xsd:enumeration value="Sierra Club - SC"/>
          <xsd:enumeration value="U.S. Dept. of Defense -  US DOD"/>
          <xsd:enumeration value="Wal-Mart"/>
        </xsd:restriction>
      </xsd:simpleType>
    </xsd:element>
    <xsd:element name="Round" ma:index="8" nillable="true" ma:displayName="Data Request Round" ma:format="Dropdown" ma:internalName="Round" ma:readOnly="false">
      <xsd:simpleType>
        <xsd:restriction base="dms:Choice">
          <xsd:enumeration value="On-Site Requests"/>
          <xsd:enumeration value="DR01"/>
          <xsd:enumeration value="DR01 Attachments"/>
          <xsd:enumeration value="DR01 eFiled/Filed"/>
          <xsd:enumeration value="DR02"/>
          <xsd:enumeration value="DR02 Attachments"/>
          <xsd:enumeration value="DR02 eFiled/Filed"/>
          <xsd:enumeration value="DR03"/>
          <xsd:enumeration value="DR03 Attachments"/>
          <xsd:enumeration value="DR03 eFiled/Filed"/>
          <xsd:enumeration value="DR04"/>
          <xsd:enumeration value="DR04 Attachments"/>
          <xsd:enumeration value="DR04 eFiled/Filed"/>
          <xsd:enumeration value="DR05"/>
          <xsd:enumeration value="DR05 Attachments"/>
          <xsd:enumeration value="DR05 eFiled/Filed"/>
          <xsd:enumeration value="DR06"/>
          <xsd:enumeration value="DR06 Attachments"/>
          <xsd:enumeration value="DR06 eFiled/Filed"/>
          <xsd:enumeration value="DR07"/>
          <xsd:enumeration value="DR07 Attachments"/>
          <xsd:enumeration value="DR07 eFiled/Filed"/>
          <xsd:enumeration value="DR08"/>
          <xsd:enumeration value="DR08 Attachments"/>
          <xsd:enumeration value="DR08 eFiled/Filed"/>
          <xsd:enumeration value="DR09"/>
          <xsd:enumeration value="DR09 Attachments"/>
          <xsd:enumeration value="DR09 eFiled/Filed"/>
          <xsd:enumeration value="DR10"/>
          <xsd:enumeration value="DR10 Attachments"/>
          <xsd:enumeration value="DR10 eFiled/Filed"/>
          <xsd:enumeration value="DR11"/>
          <xsd:enumeration value="DR11 Attachments"/>
          <xsd:enumeration value="DR11 eFiled/Filed"/>
          <xsd:enumeration value="DR12"/>
          <xsd:enumeration value="DR12 Attachments"/>
          <xsd:enumeration value="DR12 eFiled/Filed"/>
          <xsd:enumeration value="DR13"/>
          <xsd:enumeration value="DR13 Attachments"/>
          <xsd:enumeration value="DR13 eFiled/Filed"/>
          <xsd:enumeration value="Post Hearing DR01"/>
          <xsd:enumeration value="Post Hearing DR01 Attachments"/>
          <xsd:enumeration value="Post Hearing DR01 eFiled/Filed"/>
          <xsd:enumeration value="Post Hearing DR02"/>
          <xsd:enumeration value="Post Hearing DR02 Attachments"/>
          <xsd:enumeration value="Post Hearing DR02 eFiled/Filed"/>
          <xsd:enumeration value="PSC DR02/Intervenors DR01"/>
          <xsd:enumeration value="PSC DR03/Intervenors DR02"/>
          <xsd:enumeration value="PSC DR04"/>
          <xsd:enumeration value="PSC DR05/Intervenors DR03"/>
          <xsd:enumeration value="PSC DR06"/>
        </xsd:restriction>
      </xsd:simpleType>
    </xsd:element>
    <xsd:element name="Data_x0020_Request_x0020_Question_x0020_No_x002e_" ma:index="9" nillable="true" ma:displayName="Data Request Question No." ma:format="Dropdown" ma:internalName="Data_x0020_Request_x0020_Question_x0020_No_x002e_" ma:readOnly="false">
      <xsd:simpleType>
        <xsd:restriction base="dms:Choice">
          <xsd:enumeration value="001"/>
          <xsd:enumeration value="002"/>
          <xsd:enumeration value="003"/>
          <xsd:enumeration value="004"/>
          <xsd:enumeration value="005"/>
          <xsd:enumeration value="006"/>
          <xsd:enumeration value="007"/>
          <xsd:enumeration value="008"/>
          <xsd:enumeration value="009"/>
          <xsd:enumeration value="010"/>
          <xsd:enumeration value="011"/>
          <xsd:enumeration value="012"/>
          <xsd:enumeration value="013"/>
          <xsd:enumeration value="014"/>
          <xsd:enumeration value="015"/>
          <xsd:enumeration value="016"/>
          <xsd:enumeration value="017"/>
          <xsd:enumeration value="018"/>
          <xsd:enumeration value="019"/>
          <xsd:enumeration value="020"/>
          <xsd:enumeration value="021"/>
          <xsd:enumeration value="022"/>
          <xsd:enumeration value="023"/>
          <xsd:enumeration value="024"/>
          <xsd:enumeration value="025"/>
          <xsd:enumeration value="026"/>
          <xsd:enumeration value="027"/>
          <xsd:enumeration value="028"/>
          <xsd:enumeration value="029"/>
          <xsd:enumeration value="030"/>
          <xsd:enumeration value="031"/>
          <xsd:enumeration value="032"/>
          <xsd:enumeration value="033"/>
          <xsd:enumeration value="034"/>
          <xsd:enumeration value="035"/>
          <xsd:enumeration value="036"/>
          <xsd:enumeration value="037"/>
          <xsd:enumeration value="038"/>
          <xsd:enumeration value="039"/>
          <xsd:enumeration value="040"/>
          <xsd:enumeration value="041"/>
          <xsd:enumeration value="042"/>
          <xsd:enumeration value="043"/>
          <xsd:enumeration value="044"/>
          <xsd:enumeration value="045"/>
          <xsd:enumeration value="046"/>
          <xsd:enumeration value="047"/>
          <xsd:enumeration value="048"/>
          <xsd:enumeration value="049"/>
          <xsd:enumeration value="050"/>
          <xsd:enumeration value="051"/>
          <xsd:enumeration value="052"/>
          <xsd:enumeration value="053"/>
          <xsd:enumeration value="054"/>
          <xsd:enumeration value="055"/>
          <xsd:enumeration value="056"/>
          <xsd:enumeration value="057"/>
          <xsd:enumeration value="058"/>
          <xsd:enumeration value="059"/>
          <xsd:enumeration value="060"/>
          <xsd:enumeration value="061"/>
          <xsd:enumeration value="062"/>
          <xsd:enumeration value="063"/>
          <xsd:enumeration value="064"/>
          <xsd:enumeration value="065"/>
          <xsd:enumeration value="066"/>
          <xsd:enumeration value="067"/>
          <xsd:enumeration value="068"/>
          <xsd:enumeration value="069"/>
          <xsd:enumeration value="070"/>
          <xsd:enumeration value="071"/>
          <xsd:enumeration value="072"/>
          <xsd:enumeration value="073"/>
          <xsd:enumeration value="074"/>
          <xsd:enumeration value="075"/>
          <xsd:enumeration value="076"/>
          <xsd:enumeration value="077"/>
          <xsd:enumeration value="078"/>
          <xsd:enumeration value="079"/>
          <xsd:enumeration value="080"/>
          <xsd:enumeration value="081"/>
          <xsd:enumeration value="082"/>
          <xsd:enumeration value="083"/>
          <xsd:enumeration value="084"/>
          <xsd:enumeration value="085"/>
          <xsd:enumeration value="086"/>
          <xsd:enumeration value="087"/>
          <xsd:enumeration value="088"/>
          <xsd:enumeration value="089"/>
          <xsd:enumeration value="090"/>
          <xsd:enumeration value="091"/>
          <xsd:enumeration value="092"/>
          <xsd:enumeration value="093"/>
          <xsd:enumeration value="094"/>
          <xsd:enumeration value="095"/>
          <xsd:enumeration value="096"/>
          <xsd:enumeration value="097"/>
          <xsd:enumeration value="098"/>
          <xsd:enumeration value="099"/>
          <xsd:enumeration value="100"/>
          <xsd:enumeration value="101"/>
          <xsd:enumeration value="102"/>
          <xsd:enumeration value="103"/>
          <xsd:enumeration value="104"/>
          <xsd:enumeration value="105"/>
          <xsd:enumeration value="106"/>
          <xsd:enumeration value="107"/>
          <xsd:enumeration value="108"/>
          <xsd:enumeration value="109"/>
          <xsd:enumeration value="110"/>
          <xsd:enumeration value="111"/>
          <xsd:enumeration value="112"/>
          <xsd:enumeration value="113"/>
          <xsd:enumeration value="114"/>
          <xsd:enumeration value="115"/>
          <xsd:enumeration value="116"/>
          <xsd:enumeration value="117"/>
          <xsd:enumeration value="118"/>
          <xsd:enumeration value="119"/>
          <xsd:enumeration value="120"/>
          <xsd:enumeration value="121"/>
          <xsd:enumeration value="122"/>
          <xsd:enumeration value="123"/>
          <xsd:enumeration value="124"/>
          <xsd:enumeration value="125"/>
          <xsd:enumeration value="126"/>
          <xsd:enumeration value="127"/>
          <xsd:enumeration value="128"/>
          <xsd:enumeration value="129"/>
          <xsd:enumeration value="130"/>
          <xsd:enumeration value="131"/>
          <xsd:enumeration value="132"/>
          <xsd:enumeration value="133"/>
          <xsd:enumeration value="134"/>
          <xsd:enumeration value="135"/>
          <xsd:enumeration value="136"/>
          <xsd:enumeration value="137"/>
          <xsd:enumeration value="138"/>
          <xsd:enumeration value="139"/>
          <xsd:enumeration value="140"/>
          <xsd:enumeration value="141"/>
          <xsd:enumeration value="142"/>
          <xsd:enumeration value="143"/>
          <xsd:enumeration value="144"/>
          <xsd:enumeration value="145"/>
          <xsd:enumeration value="146"/>
          <xsd:enumeration value="147"/>
          <xsd:enumeration value="148"/>
          <xsd:enumeration value="149"/>
          <xsd:enumeration value="150"/>
          <xsd:enumeration value="151"/>
          <xsd:enumeration value="152"/>
          <xsd:enumeration value="153"/>
          <xsd:enumeration value="154"/>
          <xsd:enumeration value="155"/>
          <xsd:enumeration value="156"/>
          <xsd:enumeration value="157"/>
          <xsd:enumeration value="158"/>
          <xsd:enumeration value="159"/>
          <xsd:enumeration value="160"/>
          <xsd:enumeration value="161"/>
          <xsd:enumeration value="162"/>
          <xsd:enumeration value="163"/>
          <xsd:enumeration value="164"/>
          <xsd:enumeration value="165"/>
          <xsd:enumeration value="166"/>
          <xsd:enumeration value="167"/>
          <xsd:enumeration value="168"/>
          <xsd:enumeration value="169"/>
          <xsd:enumeration value="170"/>
          <xsd:enumeration value="171"/>
          <xsd:enumeration value="172"/>
          <xsd:enumeration value="173"/>
          <xsd:enumeration value="174"/>
          <xsd:enumeration value="175"/>
          <xsd:enumeration value="176"/>
          <xsd:enumeration value="177"/>
          <xsd:enumeration value="178"/>
          <xsd:enumeration value="179"/>
          <xsd:enumeration value="180"/>
          <xsd:enumeration value="181"/>
          <xsd:enumeration value="182"/>
          <xsd:enumeration value="183"/>
          <xsd:enumeration value="184"/>
          <xsd:enumeration value="185"/>
          <xsd:enumeration value="186"/>
          <xsd:enumeration value="187"/>
          <xsd:enumeration value="188"/>
          <xsd:enumeration value="189"/>
          <xsd:enumeration value="190"/>
          <xsd:enumeration value="191"/>
          <xsd:enumeration value="192"/>
          <xsd:enumeration value="193"/>
          <xsd:enumeration value="194"/>
          <xsd:enumeration value="195"/>
          <xsd:enumeration value="196"/>
          <xsd:enumeration value="197"/>
          <xsd:enumeration value="198"/>
          <xsd:enumeration value="199"/>
          <xsd:enumeration value="200"/>
          <xsd:enumeration value="201"/>
          <xsd:enumeration value="202"/>
          <xsd:enumeration value="203"/>
          <xsd:enumeration value="204"/>
          <xsd:enumeration value="205"/>
          <xsd:enumeration value="206"/>
          <xsd:enumeration value="207"/>
          <xsd:enumeration value="208"/>
          <xsd:enumeration value="209"/>
          <xsd:enumeration value="210"/>
          <xsd:enumeration value="211"/>
          <xsd:enumeration value="212"/>
          <xsd:enumeration value="213"/>
          <xsd:enumeration value="214"/>
          <xsd:enumeration value="215"/>
          <xsd:enumeration value="216"/>
          <xsd:enumeration value="217"/>
          <xsd:enumeration value="218"/>
          <xsd:enumeration value="219"/>
          <xsd:enumeration value="220"/>
          <xsd:enumeration value="221"/>
          <xsd:enumeration value="222"/>
          <xsd:enumeration value="223"/>
          <xsd:enumeration value="224"/>
          <xsd:enumeration value="225"/>
          <xsd:enumeration value="226"/>
          <xsd:enumeration value="227"/>
          <xsd:enumeration value="228"/>
          <xsd:enumeration value="229"/>
          <xsd:enumeration value="230"/>
          <xsd:enumeration value="231"/>
          <xsd:enumeration value="232"/>
          <xsd:enumeration value="233"/>
          <xsd:enumeration value="234"/>
          <xsd:enumeration value="235"/>
          <xsd:enumeration value="236"/>
          <xsd:enumeration value="237"/>
          <xsd:enumeration value="238"/>
          <xsd:enumeration value="239"/>
          <xsd:enumeration value="240"/>
          <xsd:enumeration value="241"/>
          <xsd:enumeration value="242"/>
          <xsd:enumeration value="243"/>
          <xsd:enumeration value="244"/>
          <xsd:enumeration value="245"/>
          <xsd:enumeration value="246"/>
          <xsd:enumeration value="247"/>
          <xsd:enumeration value="248"/>
          <xsd:enumeration value="249"/>
          <xsd:enumeration value="250"/>
          <xsd:enumeration value="251"/>
          <xsd:enumeration value="252"/>
          <xsd:enumeration value="253"/>
          <xsd:enumeration value="254"/>
          <xsd:enumeration value="255"/>
          <xsd:enumeration value="256"/>
          <xsd:enumeration value="257"/>
          <xsd:enumeration value="258"/>
          <xsd:enumeration value="259"/>
          <xsd:enumeration value="260"/>
          <xsd:enumeration value="261"/>
          <xsd:enumeration value="262"/>
          <xsd:enumeration value="263"/>
          <xsd:enumeration value="264"/>
          <xsd:enumeration value="265"/>
          <xsd:enumeration value="266"/>
          <xsd:enumeration value="267"/>
          <xsd:enumeration value="268"/>
          <xsd:enumeration value="269"/>
          <xsd:enumeration value="270"/>
          <xsd:enumeration value="271"/>
          <xsd:enumeration value="272"/>
          <xsd:enumeration value="273"/>
          <xsd:enumeration value="274"/>
          <xsd:enumeration value="275"/>
          <xsd:enumeration value="276"/>
          <xsd:enumeration value="277"/>
          <xsd:enumeration value="278"/>
          <xsd:enumeration value="279"/>
          <xsd:enumeration value="280"/>
          <xsd:enumeration value="281"/>
          <xsd:enumeration value="282"/>
          <xsd:enumeration value="283"/>
          <xsd:enumeration value="284"/>
          <xsd:enumeration value="285"/>
          <xsd:enumeration value="286"/>
          <xsd:enumeration value="287"/>
          <xsd:enumeration value="288"/>
          <xsd:enumeration value="289"/>
          <xsd:enumeration value="290"/>
          <xsd:enumeration value="291"/>
          <xsd:enumeration value="292"/>
          <xsd:enumeration value="293"/>
          <xsd:enumeration value="294"/>
          <xsd:enumeration value="295"/>
          <xsd:enumeration value="296"/>
          <xsd:enumeration value="297"/>
          <xsd:enumeration value="298"/>
          <xsd:enumeration value="299"/>
          <xsd:enumeration value="300"/>
          <xsd:enumeration value="301"/>
          <xsd:enumeration value="302"/>
          <xsd:enumeration value="303"/>
          <xsd:enumeration value="304"/>
          <xsd:enumeration value="305"/>
          <xsd:enumeration value="306"/>
          <xsd:enumeration value="307"/>
          <xsd:enumeration value="308"/>
          <xsd:enumeration value="309"/>
          <xsd:enumeration value="310"/>
          <xsd:enumeration value="311"/>
          <xsd:enumeration value="312"/>
          <xsd:enumeration value="313"/>
          <xsd:enumeration value="314"/>
          <xsd:enumeration value="315"/>
          <xsd:enumeration value="316"/>
          <xsd:enumeration value="317"/>
          <xsd:enumeration value="318"/>
          <xsd:enumeration value="319"/>
          <xsd:enumeration value="320"/>
          <xsd:enumeration value="321"/>
          <xsd:enumeration value="322"/>
          <xsd:enumeration value="323"/>
          <xsd:enumeration value="324"/>
          <xsd:enumeration value="325"/>
          <xsd:enumeration value="326"/>
          <xsd:enumeration value="327"/>
          <xsd:enumeration value="328"/>
          <xsd:enumeration value="329"/>
          <xsd:enumeration value="330"/>
          <xsd:enumeration value="331"/>
          <xsd:enumeration value="332"/>
          <xsd:enumeration value="333"/>
          <xsd:enumeration value="334"/>
          <xsd:enumeration value="335"/>
          <xsd:enumeration value="336"/>
          <xsd:enumeration value="337"/>
          <xsd:enumeration value="338"/>
          <xsd:enumeration value="339"/>
          <xsd:enumeration value="340"/>
          <xsd:enumeration value="341"/>
          <xsd:enumeration value="342"/>
          <xsd:enumeration value="343"/>
          <xsd:enumeration value="344"/>
          <xsd:enumeration value="345"/>
          <xsd:enumeration value="346"/>
          <xsd:enumeration value="347"/>
          <xsd:enumeration value="348"/>
          <xsd:enumeration value="349"/>
          <xsd:enumeration value="350"/>
          <xsd:enumeration value="351"/>
          <xsd:enumeration value="352"/>
          <xsd:enumeration value="353"/>
          <xsd:enumeration value="354"/>
          <xsd:enumeration value="355"/>
          <xsd:enumeration value="356"/>
          <xsd:enumeration value="357"/>
          <xsd:enumeration value="358"/>
          <xsd:enumeration value="359"/>
          <xsd:enumeration value="360"/>
          <xsd:enumeration value="361"/>
          <xsd:enumeration value="362"/>
          <xsd:enumeration value="363"/>
          <xsd:enumeration value="364"/>
          <xsd:enumeration value="365"/>
          <xsd:enumeration value="366"/>
          <xsd:enumeration value="367"/>
          <xsd:enumeration value="368"/>
          <xsd:enumeration value="369"/>
          <xsd:enumeration value="370"/>
          <xsd:enumeration value="371"/>
          <xsd:enumeration value="372"/>
          <xsd:enumeration value="373"/>
          <xsd:enumeration value="374"/>
          <xsd:enumeration value="375"/>
          <xsd:enumeration value="376"/>
          <xsd:enumeration value="377"/>
          <xsd:enumeration value="378"/>
          <xsd:enumeration value="379"/>
          <xsd:enumeration value="380"/>
          <xsd:enumeration value="381"/>
          <xsd:enumeration value="382"/>
          <xsd:enumeration value="383"/>
          <xsd:enumeration value="384"/>
          <xsd:enumeration value="385"/>
          <xsd:enumeration value="386"/>
          <xsd:enumeration value="387"/>
          <xsd:enumeration value="388"/>
          <xsd:enumeration value="389"/>
          <xsd:enumeration value="390"/>
          <xsd:enumeration value="391"/>
          <xsd:enumeration value="392"/>
          <xsd:enumeration value="393"/>
          <xsd:enumeration value="394"/>
          <xsd:enumeration value="395"/>
          <xsd:enumeration value="396"/>
          <xsd:enumeration value="397"/>
          <xsd:enumeration value="398"/>
          <xsd:enumeration value="399"/>
          <xsd:enumeration value="400"/>
          <xsd:enumeration value="401"/>
          <xsd:enumeration value="402"/>
          <xsd:enumeration value="403"/>
          <xsd:enumeration value="404"/>
          <xsd:enumeration value="405"/>
          <xsd:enumeration value="406"/>
          <xsd:enumeration value="407"/>
          <xsd:enumeration value="408"/>
          <xsd:enumeration value="409"/>
          <xsd:enumeration value="410"/>
          <xsd:enumeration value="411"/>
          <xsd:enumeration value="412"/>
          <xsd:enumeration value="413"/>
          <xsd:enumeration value="414"/>
          <xsd:enumeration value="415"/>
          <xsd:enumeration value="416"/>
          <xsd:enumeration value="417"/>
          <xsd:enumeration value="418"/>
          <xsd:enumeration value="419"/>
          <xsd:enumeration value="420"/>
          <xsd:enumeration value="421"/>
          <xsd:enumeration value="422"/>
          <xsd:enumeration value="423"/>
          <xsd:enumeration value="424"/>
          <xsd:enumeration value="425"/>
          <xsd:enumeration value="426"/>
          <xsd:enumeration value="427"/>
          <xsd:enumeration value="428"/>
          <xsd:enumeration value="429"/>
          <xsd:enumeration value="430"/>
          <xsd:enumeration value="431"/>
          <xsd:enumeration value="432"/>
          <xsd:enumeration value="433"/>
          <xsd:enumeration value="434"/>
          <xsd:enumeration value="435"/>
          <xsd:enumeration value="436"/>
          <xsd:enumeration value="437"/>
          <xsd:enumeration value="438"/>
          <xsd:enumeration value="439"/>
          <xsd:enumeration value="440"/>
          <xsd:enumeration value="441"/>
        </xsd:restriction>
      </xsd:simpleType>
    </xsd:element>
    <xsd:element name="Tariff_x0020_Dev_x0020_Doc_x0020_Type" ma:index="10" nillable="true" ma:displayName="Tariff Dev Doc Type" ma:format="Dropdown" ma:internalName="Tariff_x0020_Dev_x0020_Doc_x0020_Type">
      <xsd:simpleType>
        <xsd:restriction base="dms:Choice">
          <xsd:enumeration value="Support"/>
          <xsd:enumeration value="Customer Communications"/>
        </xsd:restriction>
      </xsd:simpleType>
    </xsd:element>
    <xsd:element name="Filed_x0020_Documents" ma:index="11" nillable="true" ma:displayName="Filed Documents (Internal Use Only)" ma:format="Dropdown" ma:internalName="Filed_x0020_Documents" ma:readOnly="false">
      <xsd:simpleType>
        <xsd:restriction base="dms:Choice">
          <xsd:enumeration value="Application/Filing Requirements/Testimony"/>
          <xsd:enumeration value="PSC DR 01"/>
          <xsd:enumeration value="PSC DR 02/Intervenor DR 01"/>
          <xsd:enumeration value="PSC DR 03/Intervenor DR 02"/>
          <xsd:enumeration value="PSC DR 04"/>
          <xsd:enumeration value="PSC DR 05"/>
          <xsd:enumeration value="PSC DR 06"/>
          <xsd:enumeration value="PSC Post Hearing DR01"/>
          <xsd:enumeration value="PSC Post Hearing DR02"/>
          <xsd:enumeration value="VSCC DR01"/>
          <xsd:enumeration value="VSCC DR02"/>
          <xsd:enumeration value="VSCC DR03"/>
          <xsd:enumeration value="VSCC DR04"/>
          <xsd:enumeration value="VSCC DR05"/>
          <xsd:enumeration value="VSCC DR06"/>
          <xsd:enumeration value="VSCC DR07"/>
          <xsd:enumeration value="VSCC DR08"/>
          <xsd:enumeration value="VSCC DR09"/>
          <xsd:enumeration value="VSCC DR10"/>
          <xsd:enumeration value="VSCC DR11"/>
          <xsd:enumeration value="VSCC DR12"/>
          <xsd:enumeration value="VSCC DR13"/>
          <xsd:enumeration value="Rebuttal Testimony"/>
          <xsd:enumeration value="Settlement Agreement"/>
          <xsd:enumeration value="Stipulation Testimony"/>
          <xsd:enumeration value="Post Hearing Brief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E7E60C-14E4-4989-A51E-C1D76C60A5B3}">
  <ds:schemaRefs>
    <ds:schemaRef ds:uri="http://schemas.microsoft.com/sharepoint/v3/contenttype/forms"/>
  </ds:schemaRefs>
</ds:datastoreItem>
</file>

<file path=customXml/itemProps2.xml><?xml version="1.0" encoding="utf-8"?>
<ds:datastoreItem xmlns:ds="http://schemas.openxmlformats.org/officeDocument/2006/customXml" ds:itemID="{91694DE7-3A8B-46F1-859E-33B889A9877E}">
  <ds:schemaRefs>
    <ds:schemaRef ds:uri="http://schemas.microsoft.com/office/infopath/2007/PartnerControls"/>
    <ds:schemaRef ds:uri="http://purl.org/dc/dcmitype/"/>
    <ds:schemaRef ds:uri="http://www.w3.org/XML/1998/namespace"/>
    <ds:schemaRef ds:uri="b368e7c8-2de1-4fdc-90a9-bf3507435312"/>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8F91C9BF-D865-4097-8E58-3F41789D79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Index</vt:lpstr>
      <vt:lpstr>Stipulation Sch M-2.1-G</vt:lpstr>
      <vt:lpstr>Stipulation Sch M-2.2-G</vt:lpstr>
      <vt:lpstr>Stipulation Sch M-2.3 Pg.1</vt:lpstr>
      <vt:lpstr>Stipulation Sch M-2.3 Pg. 2-11</vt:lpstr>
      <vt:lpstr>Index!Print_Area</vt:lpstr>
      <vt:lpstr>'Stipulation Sch M-2.1-G'!Print_Area</vt:lpstr>
      <vt:lpstr>'Stipulation Sch M-2.2-G'!Print_Area</vt:lpstr>
      <vt:lpstr>'Stipulation Sch M-2.3 Pg. 2-11'!Print_Area</vt:lpstr>
      <vt:lpstr>'Stipulation Sch M-2.3 Pg.1'!Print_Area</vt:lpstr>
      <vt:lpstr>'Stipulation Sch M-2.3 Pg. 2-11'!Print_Titles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2014-11-26T16:25:59Z</dcterms:created>
  <dcterms:modified xsi:type="dcterms:W3CDTF">2019-03-14T16:48:47Z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0x0101002D0103853DF7894DB347713A7250CD66</vt:lpwstr>
  </property>
</Properties>
</file>