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5200" windowHeight="12570" tabRatio="853"/>
  </bookViews>
  <sheets>
    <sheet name="Index" sheetId="80" r:id="rId1"/>
    <sheet name="Stipulation Sch M-2.1-G" sheetId="82" r:id="rId2"/>
    <sheet name="Stipulation Sch M-2.2-G" sheetId="81" r:id="rId3"/>
    <sheet name="Stipulation Sch M-2.3 Pg.1" sheetId="5" r:id="rId4"/>
    <sheet name="Stipulation Sch M-2.3 Pg. 2-11" sheetId="6" r:id="rId5"/>
  </sheets>
  <externalReferences>
    <externalReference r:id="rId6"/>
  </externalReferences>
  <definedNames>
    <definedName name="BNE_MESSAGES_HIDDEN" localSheetId="4" hidden="1">#REF!</definedName>
    <definedName name="BNE_MESSAGES_HIDDEN" hidden="1">#REF!</definedName>
    <definedName name="DolUnitFactor">[1]ListsValues!$M$29</definedName>
    <definedName name="_xlnm.Print_Area" localSheetId="0">Index!$A$1:$L$22</definedName>
    <definedName name="_xlnm.Print_Area" localSheetId="1">'Stipulation Sch M-2.1-G'!$A$1:$F$49</definedName>
    <definedName name="_xlnm.Print_Area" localSheetId="2">'Stipulation Sch M-2.2-G'!$A$1:$K$31</definedName>
    <definedName name="_xlnm.Print_Area" localSheetId="4">'Stipulation Sch M-2.3 Pg. 2-11'!$B$1:$L$290</definedName>
    <definedName name="_xlnm.Print_Area" localSheetId="3">'Stipulation Sch M-2.3 Pg.1'!$A$1:$H$42</definedName>
    <definedName name="_xlnm.Print_Titles" localSheetId="4">'Stipulation Sch M-2.3 Pg. 2-11'!$1:$14</definedName>
  </definedNames>
  <calcPr calcId="152511"/>
</workbook>
</file>

<file path=xl/calcChain.xml><?xml version="1.0" encoding="utf-8"?>
<calcChain xmlns="http://schemas.openxmlformats.org/spreadsheetml/2006/main">
  <c r="L7" i="6" l="1"/>
  <c r="G40" i="5" l="1"/>
  <c r="G39" i="5"/>
  <c r="G38" i="5"/>
  <c r="G37" i="5"/>
  <c r="F60" i="82" l="1"/>
  <c r="K278" i="6" l="1"/>
  <c r="K277" i="6"/>
  <c r="K274" i="6"/>
  <c r="K47" i="6" l="1"/>
  <c r="K63" i="6" s="1"/>
  <c r="K62" i="6"/>
  <c r="K60" i="6"/>
  <c r="K59" i="6"/>
  <c r="C40" i="82"/>
  <c r="A40" i="5" l="1"/>
  <c r="A39" i="5"/>
  <c r="A38" i="5"/>
  <c r="A37" i="5"/>
  <c r="B40" i="5" l="1"/>
  <c r="F40" i="5" s="1"/>
  <c r="B39" i="5"/>
  <c r="F39" i="5" s="1"/>
  <c r="B38" i="5"/>
  <c r="F38" i="5" s="1"/>
  <c r="C39" i="82" l="1"/>
  <c r="K260" i="6" l="1"/>
  <c r="L260" i="6" s="1"/>
  <c r="K255" i="6" l="1"/>
  <c r="K256" i="6"/>
  <c r="K257" i="6"/>
  <c r="B29" i="81"/>
  <c r="D29" i="81" s="1"/>
  <c r="C29" i="81"/>
  <c r="I260" i="6"/>
  <c r="B31" i="5" s="1"/>
  <c r="I256" i="6"/>
  <c r="I257" i="6"/>
  <c r="I255" i="6"/>
  <c r="L256" i="6" l="1"/>
  <c r="L257" i="6"/>
  <c r="F29" i="81"/>
  <c r="K29" i="81" s="1"/>
  <c r="I29" i="81"/>
  <c r="J29" i="81" l="1"/>
  <c r="K214" i="6"/>
  <c r="K213" i="6"/>
  <c r="K212" i="6"/>
  <c r="K211" i="6"/>
  <c r="B37" i="5" l="1"/>
  <c r="C42" i="82"/>
  <c r="C41" i="82"/>
  <c r="L217" i="6" l="1"/>
  <c r="L214" i="6" l="1"/>
  <c r="I214" i="6"/>
  <c r="L224" i="6"/>
  <c r="I224" i="6"/>
  <c r="L213" i="6" l="1"/>
  <c r="I213" i="6"/>
  <c r="I209" i="6" l="1"/>
  <c r="L209" i="6"/>
  <c r="L211" i="6"/>
  <c r="I211" i="6"/>
  <c r="A5" i="81" l="1"/>
  <c r="A4" i="81"/>
  <c r="A3" i="81"/>
  <c r="A2" i="81"/>
  <c r="A1" i="81"/>
  <c r="A5" i="5" l="1"/>
  <c r="B4" i="6"/>
  <c r="B3" i="6"/>
  <c r="B2" i="6"/>
  <c r="B1" i="6"/>
  <c r="A4" i="82"/>
  <c r="A3" i="82"/>
  <c r="A2" i="82"/>
  <c r="A1" i="82"/>
  <c r="A7" i="81"/>
  <c r="A8" i="81"/>
  <c r="K7" i="81"/>
  <c r="A9" i="81"/>
  <c r="A9" i="5"/>
  <c r="A8" i="5"/>
  <c r="A7" i="5"/>
  <c r="A4" i="5"/>
  <c r="A3" i="5"/>
  <c r="A2" i="5"/>
  <c r="A1" i="5"/>
  <c r="H8" i="5"/>
  <c r="H7" i="5"/>
  <c r="K87" i="6"/>
  <c r="K86" i="6"/>
  <c r="K100" i="6" l="1"/>
  <c r="K101" i="6"/>
  <c r="K157" i="6"/>
  <c r="K90" i="6"/>
  <c r="K276" i="6" l="1"/>
  <c r="L44" i="6"/>
  <c r="L43" i="6"/>
  <c r="L59" i="6"/>
  <c r="I57" i="6"/>
  <c r="L62" i="6"/>
  <c r="L278" i="6"/>
  <c r="L255" i="6" l="1"/>
  <c r="I278" i="6"/>
  <c r="B9" i="6"/>
  <c r="B8" i="6"/>
  <c r="B7" i="6"/>
  <c r="I98" i="6" l="1"/>
  <c r="L100" i="6"/>
  <c r="I63" i="6"/>
  <c r="L63" i="6"/>
  <c r="L60" i="6"/>
  <c r="I58" i="6"/>
  <c r="I66" i="6"/>
  <c r="B15" i="81"/>
  <c r="L157" i="6" l="1"/>
  <c r="I99" i="6" l="1"/>
  <c r="L101" i="6"/>
  <c r="I157" i="6"/>
  <c r="C15" i="81"/>
  <c r="L159" i="6"/>
  <c r="I103" i="6" l="1"/>
  <c r="L103" i="6"/>
  <c r="I104" i="6" l="1"/>
  <c r="L104" i="6"/>
  <c r="D40" i="82" l="1"/>
  <c r="F40" i="82" s="1"/>
  <c r="D41" i="82"/>
  <c r="F41" i="82" s="1"/>
  <c r="D42" i="82"/>
  <c r="F42" i="82" s="1"/>
  <c r="D39" i="82"/>
  <c r="F39" i="82" s="1"/>
  <c r="L203" i="6" l="1"/>
  <c r="I203" i="6" l="1"/>
  <c r="L164" i="6" l="1"/>
  <c r="F37" i="5" l="1"/>
  <c r="I55" i="6" l="1"/>
  <c r="L55" i="6"/>
  <c r="L64" i="6" s="1"/>
  <c r="C23" i="5"/>
  <c r="C31" i="81"/>
  <c r="D33" i="5" l="1"/>
  <c r="L284" i="6"/>
  <c r="C33" i="5"/>
  <c r="L283" i="6"/>
  <c r="L96" i="6"/>
  <c r="L105" i="6" s="1"/>
  <c r="I96" i="6"/>
  <c r="I105" i="6" s="1"/>
  <c r="I107" i="6" s="1"/>
  <c r="F31" i="81"/>
  <c r="K31" i="81" s="1"/>
  <c r="D31" i="81"/>
  <c r="I31" i="81"/>
  <c r="E23" i="5"/>
  <c r="L166" i="6"/>
  <c r="E25" i="5"/>
  <c r="L189" i="6"/>
  <c r="D25" i="5"/>
  <c r="L188" i="6"/>
  <c r="L277" i="6"/>
  <c r="I277" i="6"/>
  <c r="I169" i="6"/>
  <c r="L169" i="6"/>
  <c r="I145" i="6"/>
  <c r="L145" i="6"/>
  <c r="I114" i="6"/>
  <c r="L114" i="6"/>
  <c r="L73" i="6"/>
  <c r="I73" i="6"/>
  <c r="K281" i="6" l="1"/>
  <c r="L221" i="6" l="1"/>
  <c r="L70" i="6"/>
  <c r="L244" i="6"/>
  <c r="L165" i="6"/>
  <c r="E27" i="5" l="1"/>
  <c r="L264" i="6"/>
  <c r="E31" i="5"/>
  <c r="L263" i="6"/>
  <c r="D31" i="5"/>
  <c r="L285" i="6"/>
  <c r="E33" i="5"/>
  <c r="E29" i="5"/>
  <c r="D23" i="5"/>
  <c r="I217" i="6" l="1"/>
  <c r="L187" i="6" l="1"/>
  <c r="C25" i="5" l="1"/>
  <c r="L262" i="6"/>
  <c r="C31" i="5"/>
  <c r="F31" i="5" s="1"/>
  <c r="L135" i="6" l="1"/>
  <c r="C25" i="81"/>
  <c r="L87" i="6" l="1"/>
  <c r="L86" i="6"/>
  <c r="L258" i="6"/>
  <c r="L266" i="6" s="1"/>
  <c r="H29" i="81" s="1"/>
  <c r="C32" i="82" s="1"/>
  <c r="I258" i="6"/>
  <c r="I266" i="6" s="1"/>
  <c r="B17" i="81"/>
  <c r="I135" i="6"/>
  <c r="C19" i="81"/>
  <c r="I212" i="6"/>
  <c r="I215" i="6" s="1"/>
  <c r="L212" i="6"/>
  <c r="L215" i="6" s="1"/>
  <c r="C17" i="81"/>
  <c r="L111" i="6"/>
  <c r="B31" i="81"/>
  <c r="L182" i="6"/>
  <c r="I182" i="6"/>
  <c r="C23" i="81"/>
  <c r="L181" i="6"/>
  <c r="I181" i="6"/>
  <c r="L237" i="6"/>
  <c r="B27" i="81"/>
  <c r="B21" i="81"/>
  <c r="I155" i="6"/>
  <c r="L155" i="6"/>
  <c r="C21" i="81"/>
  <c r="L158" i="6"/>
  <c r="I158" i="6"/>
  <c r="L47" i="6"/>
  <c r="L202" i="6"/>
  <c r="I202" i="6"/>
  <c r="L200" i="6"/>
  <c r="L160" i="6" l="1"/>
  <c r="E29" i="81"/>
  <c r="B32" i="82" s="1"/>
  <c r="F32" i="82" s="1"/>
  <c r="L269" i="6"/>
  <c r="I237" i="6"/>
  <c r="I134" i="6"/>
  <c r="L134" i="6"/>
  <c r="E21" i="5"/>
  <c r="L142" i="6"/>
  <c r="I62" i="6"/>
  <c r="I64" i="6" s="1"/>
  <c r="C27" i="81"/>
  <c r="L268" i="6"/>
  <c r="I132" i="6"/>
  <c r="B19" i="81"/>
  <c r="E15" i="5"/>
  <c r="L29" i="6"/>
  <c r="L132" i="6"/>
  <c r="L46" i="6"/>
  <c r="I236" i="6"/>
  <c r="L274" i="6"/>
  <c r="I274" i="6"/>
  <c r="L236" i="6"/>
  <c r="L180" i="6"/>
  <c r="L183" i="6" s="1"/>
  <c r="I180" i="6"/>
  <c r="I183" i="6" s="1"/>
  <c r="B23" i="81"/>
  <c r="D23" i="81" s="1"/>
  <c r="L242" i="6"/>
  <c r="C29" i="5"/>
  <c r="D29" i="5"/>
  <c r="L243" i="6"/>
  <c r="K66" i="6"/>
  <c r="L66" i="6" s="1"/>
  <c r="K50" i="6"/>
  <c r="D21" i="81"/>
  <c r="I160" i="6"/>
  <c r="E19" i="5"/>
  <c r="L220" i="6"/>
  <c r="D27" i="5"/>
  <c r="L219" i="6"/>
  <c r="C27" i="5"/>
  <c r="L141" i="6"/>
  <c r="D21" i="5"/>
  <c r="L140" i="6"/>
  <c r="C21" i="5"/>
  <c r="L110" i="6"/>
  <c r="D19" i="5"/>
  <c r="L109" i="6"/>
  <c r="C19" i="5"/>
  <c r="L69" i="6"/>
  <c r="D17" i="5"/>
  <c r="L68" i="6"/>
  <c r="C17" i="5"/>
  <c r="E17" i="5"/>
  <c r="L28" i="6"/>
  <c r="D15" i="5"/>
  <c r="L27" i="6"/>
  <c r="C15" i="5"/>
  <c r="I235" i="6"/>
  <c r="L235" i="6"/>
  <c r="I276" i="6"/>
  <c r="L276" i="6"/>
  <c r="I200" i="6"/>
  <c r="I84" i="6"/>
  <c r="I90" i="6"/>
  <c r="L90" i="6"/>
  <c r="L89" i="6"/>
  <c r="I89" i="6"/>
  <c r="I41" i="6"/>
  <c r="I136" i="6" l="1"/>
  <c r="I138" i="6" s="1"/>
  <c r="I279" i="6"/>
  <c r="I281" i="6" s="1"/>
  <c r="I287" i="6" s="1"/>
  <c r="L136" i="6"/>
  <c r="L279" i="6"/>
  <c r="L281" i="6" s="1"/>
  <c r="L287" i="6" s="1"/>
  <c r="H31" i="81" s="1"/>
  <c r="C34" i="82" s="1"/>
  <c r="D32" i="82"/>
  <c r="H31" i="5"/>
  <c r="G31" i="5"/>
  <c r="G29" i="81"/>
  <c r="I238" i="6"/>
  <c r="L238" i="6"/>
  <c r="D27" i="81"/>
  <c r="E35" i="5"/>
  <c r="E42" i="5" s="1"/>
  <c r="C35" i="5"/>
  <c r="C42" i="5" s="1"/>
  <c r="D35" i="5"/>
  <c r="D42" i="5" s="1"/>
  <c r="B33" i="5" l="1"/>
  <c r="F33" i="5" s="1"/>
  <c r="L289" i="6"/>
  <c r="L290" i="6" s="1"/>
  <c r="E31" i="81"/>
  <c r="K206" i="6"/>
  <c r="J31" i="81" l="1"/>
  <c r="B34" i="82"/>
  <c r="H33" i="5"/>
  <c r="G31" i="81"/>
  <c r="G33" i="5"/>
  <c r="D34" i="82" l="1"/>
  <c r="F34" i="82"/>
  <c r="I162" i="6" l="1"/>
  <c r="I171" i="6" s="1"/>
  <c r="B23" i="5" l="1"/>
  <c r="F23" i="5" s="1"/>
  <c r="E21" i="81"/>
  <c r="K162" i="6"/>
  <c r="L162" i="6" s="1"/>
  <c r="L171" i="6" s="1"/>
  <c r="H21" i="81" l="1"/>
  <c r="F21" i="81"/>
  <c r="K93" i="6"/>
  <c r="K107" i="6"/>
  <c r="L107" i="6" s="1"/>
  <c r="L172" i="6" l="1"/>
  <c r="L173" i="6" s="1"/>
  <c r="H23" i="5" s="1"/>
  <c r="I21" i="81"/>
  <c r="J21" i="81" s="1"/>
  <c r="B24" i="82"/>
  <c r="K21" i="81" l="1"/>
  <c r="G23" i="5"/>
  <c r="G21" i="81" s="1"/>
  <c r="C24" i="82"/>
  <c r="D24" i="82" s="1"/>
  <c r="F24" i="82" s="1"/>
  <c r="B25" i="81" l="1"/>
  <c r="D25" i="81" s="1"/>
  <c r="L201" i="6" l="1"/>
  <c r="L204" i="6" s="1"/>
  <c r="L206" i="6" s="1"/>
  <c r="L226" i="6" s="1"/>
  <c r="H25" i="81" s="1"/>
  <c r="I201" i="6"/>
  <c r="I204" i="6" s="1"/>
  <c r="I206" i="6" s="1"/>
  <c r="B27" i="5" l="1"/>
  <c r="F27" i="5" s="1"/>
  <c r="I226" i="6"/>
  <c r="D15" i="81"/>
  <c r="I47" i="6"/>
  <c r="I46" i="6"/>
  <c r="L125" i="6"/>
  <c r="L228" i="6" l="1"/>
  <c r="E25" i="81"/>
  <c r="I42" i="6"/>
  <c r="C28" i="82"/>
  <c r="I25" i="81"/>
  <c r="L48" i="6"/>
  <c r="L50" i="6" s="1"/>
  <c r="L75" i="6" s="1"/>
  <c r="I85" i="6"/>
  <c r="I91" i="6" s="1"/>
  <c r="I93" i="6" s="1"/>
  <c r="B19" i="5" s="1"/>
  <c r="D17" i="81"/>
  <c r="L126" i="6"/>
  <c r="L127" i="6" s="1"/>
  <c r="I126" i="6"/>
  <c r="I125" i="6"/>
  <c r="I48" i="6" l="1"/>
  <c r="I50" i="6" s="1"/>
  <c r="L229" i="6"/>
  <c r="H27" i="5" s="1"/>
  <c r="G27" i="5"/>
  <c r="G25" i="81" s="1"/>
  <c r="B17" i="5"/>
  <c r="I75" i="6"/>
  <c r="I116" i="6"/>
  <c r="E17" i="81" s="1"/>
  <c r="F19" i="5"/>
  <c r="L91" i="6"/>
  <c r="L93" i="6" s="1"/>
  <c r="D19" i="81"/>
  <c r="I127" i="6"/>
  <c r="L116" i="6" l="1"/>
  <c r="H17" i="81" s="1"/>
  <c r="I17" i="81" l="1"/>
  <c r="C20" i="82"/>
  <c r="K185" i="6"/>
  <c r="L185" i="6" s="1"/>
  <c r="L191" i="6" s="1"/>
  <c r="I185" i="6"/>
  <c r="I191" i="6" l="1"/>
  <c r="E23" i="81" s="1"/>
  <c r="B25" i="5"/>
  <c r="F25" i="5" s="1"/>
  <c r="H23" i="81"/>
  <c r="I23" i="81" s="1"/>
  <c r="L193" i="6" l="1"/>
  <c r="G25" i="5" s="1"/>
  <c r="F23" i="81"/>
  <c r="B26" i="82"/>
  <c r="C26" i="82"/>
  <c r="L194" i="6" l="1"/>
  <c r="H25" i="5" s="1"/>
  <c r="D26" i="82"/>
  <c r="F26" i="82" s="1"/>
  <c r="J23" i="81"/>
  <c r="G23" i="81"/>
  <c r="K23" i="81" l="1"/>
  <c r="K129" i="6"/>
  <c r="L129" i="6" s="1"/>
  <c r="K138" i="6" l="1"/>
  <c r="L138" i="6" s="1"/>
  <c r="I129" i="6"/>
  <c r="B21" i="5" s="1"/>
  <c r="L147" i="6" l="1"/>
  <c r="H19" i="81" s="1"/>
  <c r="I147" i="6"/>
  <c r="F21" i="5"/>
  <c r="C22" i="82" l="1"/>
  <c r="I19" i="81"/>
  <c r="E19" i="81"/>
  <c r="B22" i="82" s="1"/>
  <c r="L149" i="6"/>
  <c r="G21" i="5" s="1"/>
  <c r="E15" i="81" l="1"/>
  <c r="F15" i="81" s="1"/>
  <c r="F17" i="5"/>
  <c r="F19" i="81"/>
  <c r="J19" i="81" s="1"/>
  <c r="L150" i="6"/>
  <c r="H21" i="5" s="1"/>
  <c r="D22" i="82"/>
  <c r="F22" i="82" s="1"/>
  <c r="G19" i="81"/>
  <c r="K19" i="81" l="1"/>
  <c r="B18" i="82"/>
  <c r="F25" i="81" l="1"/>
  <c r="B28" i="82"/>
  <c r="J25" i="81" l="1"/>
  <c r="D28" i="82"/>
  <c r="F28" i="82" s="1"/>
  <c r="K25" i="81" l="1"/>
  <c r="B20" i="82"/>
  <c r="F17" i="81"/>
  <c r="J17" i="81" s="1"/>
  <c r="L118" i="6"/>
  <c r="L119" i="6" s="1"/>
  <c r="H19" i="5" s="1"/>
  <c r="K17" i="81" l="1"/>
  <c r="D20" i="82"/>
  <c r="G19" i="5"/>
  <c r="F20" i="82" l="1"/>
  <c r="G17" i="81"/>
  <c r="L77" i="6" l="1"/>
  <c r="L78" i="6" s="1"/>
  <c r="H17" i="5" s="1"/>
  <c r="H15" i="81"/>
  <c r="I15" i="81" s="1"/>
  <c r="J15" i="81" s="1"/>
  <c r="K15" i="81" l="1"/>
  <c r="G17" i="5"/>
  <c r="G15" i="81" s="1"/>
  <c r="C18" i="82"/>
  <c r="D18" i="82" l="1"/>
  <c r="F18" i="82" l="1"/>
  <c r="K240" i="6" l="1"/>
  <c r="L240" i="6" s="1"/>
  <c r="L246" i="6" s="1"/>
  <c r="I240" i="6"/>
  <c r="I246" i="6" l="1"/>
  <c r="B29" i="5"/>
  <c r="F29" i="5" s="1"/>
  <c r="H27" i="81"/>
  <c r="E27" i="81" l="1"/>
  <c r="F27" i="81" s="1"/>
  <c r="L248" i="6"/>
  <c r="I27" i="81"/>
  <c r="C30" i="82"/>
  <c r="B30" i="82" l="1"/>
  <c r="D30" i="82" s="1"/>
  <c r="F30" i="82" s="1"/>
  <c r="L249" i="6"/>
  <c r="H29" i="5" s="1"/>
  <c r="G29" i="5"/>
  <c r="G27" i="81"/>
  <c r="J27" i="81"/>
  <c r="K27" i="81" l="1"/>
  <c r="K25" i="6"/>
  <c r="I22" i="6"/>
  <c r="I20" i="6" l="1"/>
  <c r="I23" i="6" s="1"/>
  <c r="I25" i="6" s="1"/>
  <c r="L21" i="6"/>
  <c r="B13" i="81"/>
  <c r="L22" i="6"/>
  <c r="C13" i="81"/>
  <c r="B15" i="5" l="1"/>
  <c r="B35" i="5" s="1"/>
  <c r="B42" i="5" s="1"/>
  <c r="I31" i="6"/>
  <c r="L23" i="6"/>
  <c r="L25" i="6" s="1"/>
  <c r="D13" i="81"/>
  <c r="E13" i="81" l="1"/>
  <c r="F15" i="5"/>
  <c r="L31" i="6"/>
  <c r="H13" i="81" l="1"/>
  <c r="I13" i="81" s="1"/>
  <c r="B16" i="82"/>
  <c r="F13" i="81"/>
  <c r="F35" i="5"/>
  <c r="F42" i="5" s="1"/>
  <c r="L33" i="6"/>
  <c r="B36" i="82" l="1"/>
  <c r="C16" i="82"/>
  <c r="D16" i="82" s="1"/>
  <c r="D36" i="82" s="1"/>
  <c r="D52" i="82" s="1"/>
  <c r="G15" i="5"/>
  <c r="G13" i="81" s="1"/>
  <c r="J13" i="81"/>
  <c r="L34" i="6"/>
  <c r="H15" i="5" s="1"/>
  <c r="B44" i="82" l="1"/>
  <c r="C36" i="82"/>
  <c r="C44" i="82" s="1"/>
  <c r="K13" i="81"/>
  <c r="G35" i="5"/>
  <c r="G42" i="5" s="1"/>
  <c r="H42" i="5" s="1"/>
  <c r="F16" i="82"/>
  <c r="D44" i="82"/>
  <c r="F36" i="82"/>
  <c r="H35" i="5" l="1"/>
  <c r="F44" i="82"/>
</calcChain>
</file>

<file path=xl/comments1.xml><?xml version="1.0" encoding="utf-8"?>
<comments xmlns="http://schemas.openxmlformats.org/spreadsheetml/2006/main">
  <authors>
    <author>Author</author>
  </authors>
  <commentList>
    <comment ref="C39" authorId="0" shapeId="0">
      <text>
        <r>
          <rPr>
            <b/>
            <sz val="9"/>
            <color indexed="81"/>
            <rFont val="Tahoma"/>
            <family val="2"/>
          </rPr>
          <t>Author:</t>
        </r>
        <r>
          <rPr>
            <sz val="9"/>
            <color indexed="81"/>
            <rFont val="Tahoma"/>
            <family val="2"/>
          </rPr>
          <t xml:space="preserve">
Adj for change in LPC policy
</t>
        </r>
      </text>
    </comment>
    <comment ref="C40" authorId="0" shapeId="0">
      <text>
        <r>
          <rPr>
            <b/>
            <sz val="9"/>
            <color indexed="81"/>
            <rFont val="Tahoma"/>
            <family val="2"/>
          </rPr>
          <t>Author:</t>
        </r>
        <r>
          <rPr>
            <sz val="9"/>
            <color indexed="81"/>
            <rFont val="Tahoma"/>
            <family val="2"/>
          </rPr>
          <t xml:space="preserve">
Adj for reduction in returned check fee</t>
        </r>
      </text>
    </comment>
  </commentList>
</comments>
</file>

<file path=xl/sharedStrings.xml><?xml version="1.0" encoding="utf-8"?>
<sst xmlns="http://schemas.openxmlformats.org/spreadsheetml/2006/main" count="345" uniqueCount="178">
  <si>
    <t>Distribution Charge</t>
  </si>
  <si>
    <t>FT</t>
  </si>
  <si>
    <t>CGS</t>
  </si>
  <si>
    <t>IGS</t>
  </si>
  <si>
    <t>RGS</t>
  </si>
  <si>
    <t>MCF</t>
  </si>
  <si>
    <t>Revenue</t>
  </si>
  <si>
    <t>Rate Class</t>
  </si>
  <si>
    <t>GSC</t>
  </si>
  <si>
    <t>DSM</t>
  </si>
  <si>
    <t>Total</t>
  </si>
  <si>
    <t>LOUISVILLE GAS AND ELECTRIC COMPANY</t>
  </si>
  <si>
    <t>TOTAL</t>
  </si>
  <si>
    <t>Demand Charge</t>
  </si>
  <si>
    <t>As Available Gas Service (AAGS)</t>
  </si>
  <si>
    <t>Calculated</t>
  </si>
  <si>
    <t>RATE CGS:</t>
  </si>
  <si>
    <t>Administrative Charges</t>
  </si>
  <si>
    <t>RATE IGS:</t>
  </si>
  <si>
    <t xml:space="preserve">         Total Rate IGS</t>
  </si>
  <si>
    <t xml:space="preserve">         Total Rate AAGS</t>
  </si>
  <si>
    <t>RATE FT:</t>
  </si>
  <si>
    <t>AAGS</t>
  </si>
  <si>
    <t>INTRA-COMPANY SPECIAL CONTRACTS</t>
  </si>
  <si>
    <t>Base Rate</t>
  </si>
  <si>
    <t>Subtotal</t>
  </si>
  <si>
    <t>Administrative Charge</t>
  </si>
  <si>
    <t>Increase</t>
  </si>
  <si>
    <t>Special Contract - Intra-Company Sales</t>
  </si>
  <si>
    <t>Total Sales to Ultimate Consumers and Inter-Company</t>
  </si>
  <si>
    <t>Current</t>
  </si>
  <si>
    <t>Change</t>
  </si>
  <si>
    <t>Other Gas Revenue</t>
  </si>
  <si>
    <t>Miscellaneous Service Revenue</t>
  </si>
  <si>
    <t>Subtotal Sales to Ultimate Consumers and Inter-Company</t>
  </si>
  <si>
    <t>Gas Line Tracker</t>
  </si>
  <si>
    <t>TYPE OF FILING: __X__ ORIGINAL  _____ UPDATED  _____ REVISED</t>
  </si>
  <si>
    <t>WORK PAPER REFERENCE NO(S):</t>
  </si>
  <si>
    <t>Gas Supply Clause</t>
  </si>
  <si>
    <t>Demand-Side Management</t>
  </si>
  <si>
    <t>Total Intra-Company Special Contract - Sales Customer</t>
  </si>
  <si>
    <t>Intra-Company Special Contract - Sales Customer</t>
  </si>
  <si>
    <t xml:space="preserve">GLT </t>
  </si>
  <si>
    <t>SCHEDULE M</t>
  </si>
  <si>
    <t>BASE PERIOD:</t>
  </si>
  <si>
    <t>FORECASTED PERIOD:</t>
  </si>
  <si>
    <t>SCHEDULE</t>
  </si>
  <si>
    <t>DESCRIPTION</t>
  </si>
  <si>
    <t>Page 1</t>
  </si>
  <si>
    <t>Total Revenue at Present Rates</t>
  </si>
  <si>
    <t>Commercial Gas Service (CGS)</t>
  </si>
  <si>
    <t>Industrial Gas Service (IGS)</t>
  </si>
  <si>
    <t>Special Contract Intra-Company Sales</t>
  </si>
  <si>
    <t>Firm Transportation (FT)</t>
  </si>
  <si>
    <t>Distributed Generation Gas Service (DGGS)</t>
  </si>
  <si>
    <t>Customer Months</t>
  </si>
  <si>
    <t>Annual Revenue at Current Rates</t>
  </si>
  <si>
    <t>Average Current Bill</t>
  </si>
  <si>
    <t>DGGS</t>
  </si>
  <si>
    <t>AAGS TS-2</t>
  </si>
  <si>
    <t>AAGS TS-2-PM</t>
  </si>
  <si>
    <t>BILLING DETERMINANTS AND EXHIBITS FOR THE FORECASTED PERIOD</t>
  </si>
  <si>
    <t>M-2.1-G</t>
  </si>
  <si>
    <t>M-2.2-G</t>
  </si>
  <si>
    <t>M-2.3-G</t>
  </si>
  <si>
    <t>DATA:  ____ BASE PERIOD  __X__  FORECAST PERIOD</t>
  </si>
  <si>
    <t>RATE DGGS</t>
  </si>
  <si>
    <t>Pool Manager Fee</t>
  </si>
  <si>
    <t>Witness:  W. S. SEELYE</t>
  </si>
  <si>
    <t>Average Consumption-Mcf</t>
  </si>
  <si>
    <t>Revenue Increase</t>
  </si>
  <si>
    <t>Annual Revenue at Proposed Rates</t>
  </si>
  <si>
    <t>Average Proposed Bill</t>
  </si>
  <si>
    <t>Change in Average Bill</t>
  </si>
  <si>
    <t>Percentage Change in Average Bill</t>
  </si>
  <si>
    <t>Change in Total Revenue</t>
  </si>
  <si>
    <t>Percent Change in Total Revenue</t>
  </si>
  <si>
    <t>Forecasted Mcf</t>
  </si>
  <si>
    <t>Percentage</t>
  </si>
  <si>
    <t xml:space="preserve">Unit </t>
  </si>
  <si>
    <t>Charges</t>
  </si>
  <si>
    <t>Proposed Increase in Revenue</t>
  </si>
  <si>
    <t>Rider PS-FT</t>
  </si>
  <si>
    <t xml:space="preserve">Rider PS-TS-2 </t>
  </si>
  <si>
    <t>SUBTOTAL</t>
  </si>
  <si>
    <t>Other Operating Revenues:</t>
  </si>
  <si>
    <t>Rent from Gas Property</t>
  </si>
  <si>
    <t>Subtotal after application of Correction Factor</t>
  </si>
  <si>
    <t>IGS TS-2</t>
  </si>
  <si>
    <t>MC</t>
  </si>
  <si>
    <t>CGS TS-2</t>
  </si>
  <si>
    <t>Forecast Period Revenues at Current and Proposed Gas Rates</t>
  </si>
  <si>
    <t>Average Bill Comparison at Current and Proposed Gas Rates</t>
  </si>
  <si>
    <t>Summary of Proposed Gas Revenue Increase</t>
  </si>
  <si>
    <t>Calculation of Proposed Gas Rate Increase</t>
  </si>
  <si>
    <t>Gas Operations</t>
  </si>
  <si>
    <t>RATE LGDS</t>
  </si>
  <si>
    <t>LGDS</t>
  </si>
  <si>
    <t xml:space="preserve">CGS TS-2-PM </t>
  </si>
  <si>
    <t>FT-PM</t>
  </si>
  <si>
    <t>IGS TS-2-PM</t>
  </si>
  <si>
    <t>SGSS-C</t>
  </si>
  <si>
    <t>SGSS-I</t>
  </si>
  <si>
    <t>Off-Peak MCF</t>
  </si>
  <si>
    <t>Present Rates</t>
  </si>
  <si>
    <t>Calculated Revenue @ Present Rates</t>
  </si>
  <si>
    <t>Distribution Cost Component</t>
  </si>
  <si>
    <t>Correction Factor=</t>
  </si>
  <si>
    <t xml:space="preserve">   On Peak Mcf</t>
  </si>
  <si>
    <t xml:space="preserve">   Off Peak Mcf</t>
  </si>
  <si>
    <t>Total Rate FT</t>
  </si>
  <si>
    <t>Total Rate CGS</t>
  </si>
  <si>
    <t>Correction Factor =</t>
  </si>
  <si>
    <t>DGGS TS-2</t>
  </si>
  <si>
    <t>For the 12 Months Ended December 31, 2018</t>
  </si>
  <si>
    <t>FT-C</t>
  </si>
  <si>
    <t>For the 12 Months Ended April 30, 2020</t>
  </si>
  <si>
    <t>Customer Months for the 12-Month Period</t>
  </si>
  <si>
    <t xml:space="preserve">         Total Rate DGGS</t>
  </si>
  <si>
    <t>DGGS TS-2-PM</t>
  </si>
  <si>
    <t xml:space="preserve">         Total Rate SGSS</t>
  </si>
  <si>
    <t xml:space="preserve">         Total Rate LGDS</t>
  </si>
  <si>
    <r>
      <t>RATE AAGS:</t>
    </r>
    <r>
      <rPr>
        <sz val="12"/>
        <rFont val="Calibri"/>
        <family val="2"/>
        <scheme val="minor"/>
      </rPr>
      <t xml:space="preserve">  </t>
    </r>
  </si>
  <si>
    <t>Residential Gas Service (RGS) and Volunteer Fire Department (VFD)</t>
  </si>
  <si>
    <t>RATE SGSS-C</t>
  </si>
  <si>
    <t>RATE SGSS-I</t>
  </si>
  <si>
    <t xml:space="preserve"> Substitute Gas Sales Service (SGSS) - Commercial</t>
  </si>
  <si>
    <t xml:space="preserve"> Substitute Gas Sales Service (SGSS) - Industrial</t>
  </si>
  <si>
    <t>Substitute Gas Sales Service-Commercial (SGSS)</t>
  </si>
  <si>
    <t>Substitute Gas Sales Service-Industrial (SGSS)</t>
  </si>
  <si>
    <t>Local Gas Delivery Service (LGDS)</t>
  </si>
  <si>
    <t>Customer Months/Days</t>
  </si>
  <si>
    <t>Monthly Basic Service Charge</t>
  </si>
  <si>
    <t>Daily Basic Service Charge</t>
  </si>
  <si>
    <t>Monthly Basic Service Charge (meters &lt; 5000 cfh)</t>
  </si>
  <si>
    <t>Monthly Basic Service Charge (meters 5000 cfh or &gt;)</t>
  </si>
  <si>
    <t>Daily Basic Service Charge (meters &lt; 5000 cfh)</t>
  </si>
  <si>
    <t>Daily Basic Service Charge (meters 5000 cfh or &gt;)</t>
  </si>
  <si>
    <t>RATE RGS and VFD:</t>
  </si>
  <si>
    <t>Residential Gas Service Rate (RGS) and Volunteer Fire Dept (VFD)</t>
  </si>
  <si>
    <t>Total Rate RGS and VFD</t>
  </si>
  <si>
    <t>CASE NO. 2018-00295</t>
  </si>
  <si>
    <t>Firm Commercial Gas Service Rate (CGS)</t>
  </si>
  <si>
    <t>Gas Transporation Service Rider TS-2 to Rate (CGS)</t>
  </si>
  <si>
    <t>Firm Industrial Gas Service Rate (IGS)</t>
  </si>
  <si>
    <t>Gas Transportation Service Rider TS-2 to Rate (IGS)</t>
  </si>
  <si>
    <t>As Available Gas Service Rate (AAGS)</t>
  </si>
  <si>
    <t xml:space="preserve">Gas Transporation Service Rider TS-2 to Rate (AAGS) </t>
  </si>
  <si>
    <t>Firm Transportation Service (Non-Standby) Rate (FT)</t>
  </si>
  <si>
    <t>Distributed Generation Gas Service Rate (DGGS)</t>
  </si>
  <si>
    <t>Gas Transporation Service Rider TS-2 to Rate (DGGS)</t>
  </si>
  <si>
    <t>Substitute Gas Sales Service - Commercial - Rate (SGSS)</t>
  </si>
  <si>
    <t>Substitute Gas Sales Service - Industrial - Rate (SGSS)</t>
  </si>
  <si>
    <t>Local Gas Delivery Service - Rate (LGDS)</t>
  </si>
  <si>
    <t>Residential Gas Service  and Volunteer Fire Dept - Rate (RGS) and (VFD)</t>
  </si>
  <si>
    <t>Commercial Gas Service - Rate (CGS)</t>
  </si>
  <si>
    <t>Industrial Gas Service - Rate (IGS)</t>
  </si>
  <si>
    <t>As-Available Gas Service - Rate (AAGS)</t>
  </si>
  <si>
    <t>Firm Transportation Service (Non-Standby) - Rate (FT)</t>
  </si>
  <si>
    <t>Distributed Generation Gas Service - Rate (DGGS)</t>
  </si>
  <si>
    <t>Late Payment Charges</t>
  </si>
  <si>
    <t>Proposed Increase</t>
  </si>
  <si>
    <t>Excl Misc Rev</t>
  </si>
  <si>
    <t xml:space="preserve"> Page 1 of 1 </t>
  </si>
  <si>
    <t xml:space="preserve"> Page 1 of 11</t>
  </si>
  <si>
    <t xml:space="preserve"> Page 7 of 11</t>
  </si>
  <si>
    <t>Misc Revenue Adjs. Summary</t>
  </si>
  <si>
    <t>Excess Facilities</t>
  </si>
  <si>
    <t>Meter Pulse Charge</t>
  </si>
  <si>
    <t>Returned Check Fee</t>
  </si>
  <si>
    <t>Late Payment Charge</t>
  </si>
  <si>
    <t>EVSE-R</t>
  </si>
  <si>
    <t>Pages 2-11</t>
  </si>
  <si>
    <t>1/</t>
  </si>
  <si>
    <r>
      <rPr>
        <u val="singleAccounting"/>
        <sz val="12"/>
        <rFont val="Calibri"/>
        <family val="2"/>
        <scheme val="minor"/>
      </rPr>
      <t>1</t>
    </r>
    <r>
      <rPr>
        <sz val="12"/>
        <rFont val="Calibri"/>
        <family val="2"/>
        <scheme val="minor"/>
      </rPr>
      <t>/ An adjustment was made to the settlement revenue requirement to remove this revenue reduction.  Because the adjustment reflected in the settlement revenue requirements instead of other operating revenue, this adjusment must remain to avoid double removal of the amount.</t>
    </r>
  </si>
  <si>
    <t>Total Revenue at Stipulated Rates</t>
  </si>
  <si>
    <t>Stipulation Exhibit 5</t>
  </si>
  <si>
    <t>Stipulated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</si>
</sst>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yy;@"/>
    <numFmt numFmtId="168" formatCode="_(&quot;$&quot;* #,##0.00000_);_(&quot;$&quot;* \(#,##0.00000\);_(&quot;$&quot;* &quot;-&quot;??_);_(@_)"/>
    <numFmt numFmtId="172" formatCode="[$-409]mmmm\-yy;@"/>
    <numFmt numFmtId="173" formatCode="_(* #,##0.0_);_(* \(#,##0.0\);_(* &quot;-&quot;??_);_(@_)"/>
    <numFmt numFmtId="174" formatCode="General_)"/>
    <numFmt numFmtId="175" formatCode="#,##0.0_);\(#,##0.0\)"/>
    <numFmt numFmtId="177" formatCode="_(&quot;$&quot;* #,##0.0000_);_(&quot;$&quot;* \(#,##0.0000\);_(&quot;$&quot;* &quot;-&quot;??_);_(@_)"/>
    <numFmt numFmtId="178" formatCode="&quot;$&quot;#,##0\ ;\(&quot;$&quot;#,##0\)"/>
    <numFmt numFmtId="179" formatCode="_([$€-2]* #,##0.00_);_([$€-2]* \(#,##0.00\);_([$€-2]* &quot;-&quot;??_)"/>
    <numFmt numFmtId="180" formatCode="0_);\(0\)"/>
    <numFmt numFmtId="181" formatCode="_(&quot;$&quot;* #,##0.000_);_(&quot;$&quot;* \(#,##0.000\);_(&quot;$&quot;* &quot;-&quot;?????_);_(@_)"/>
    <numFmt numFmtId="187" formatCode="0.000000"/>
    <numFmt numFmtId="189" formatCode="0.0000"/>
    <numFmt numFmtId="190" formatCode="_(&quot;$&quot;* #,##0.0_);_(&quot;$&quot;* \(#,##0.0\);_(&quot;$&quot;* &quot;-&quot;??_);_(@_)"/>
    <numFmt numFmtId="191" formatCode="_(&quot;$&quot;* #,##0.00000000000_);_(&quot;$&quot;* \(#,##0.00000000000\);_(&quot;$&quot;* &quot;-&quot;??_);_(@_)"/>
  </numFmts>
  <fonts count="72" x14ac:knownFonts="1">
    <font>
      <sz val="11"/>
      <color theme="1"/>
      <name val="Calibri"/>
      <family val="2"/>
      <scheme val="minor"/>
    </font>
    <font>
      <b/>
      <sz val="10"/>
      <name val="Arial"/>
      <family val="2"/>
    </font>
    <font>
      <sz val="8"/>
      <name val="Arial"/>
      <family val="2"/>
    </font>
    <font>
      <sz val="10"/>
      <name val="Arial"/>
      <family val="2"/>
    </font>
    <font>
      <sz val="11"/>
      <color theme="1"/>
      <name val="Calibri"/>
      <family val="2"/>
      <scheme val="minor"/>
    </font>
    <font>
      <sz val="10"/>
      <name val="Calibri"/>
      <family val="2"/>
      <scheme val="minor"/>
    </font>
    <font>
      <sz val="9"/>
      <color theme="1"/>
      <name val="Times New Roman"/>
      <family val="2"/>
    </font>
    <font>
      <sz val="10"/>
      <name val="Times New Roman"/>
      <family val="1"/>
    </font>
    <font>
      <b/>
      <sz val="10"/>
      <color indexed="8"/>
      <name val="Arial"/>
      <family val="2"/>
    </font>
    <font>
      <sz val="10"/>
      <name val="Courier"/>
      <family val="3"/>
    </font>
    <font>
      <b/>
      <sz val="14"/>
      <name val="Arial"/>
      <family val="2"/>
    </font>
    <font>
      <sz val="10"/>
      <color indexed="8"/>
      <name val="Arial"/>
      <family val="2"/>
    </font>
    <font>
      <b/>
      <sz val="18"/>
      <color theme="3"/>
      <name val="Cambria"/>
      <family val="2"/>
      <scheme val="major"/>
    </font>
    <font>
      <sz val="12"/>
      <name val="Times New Roman"/>
      <family val="1"/>
    </font>
    <font>
      <sz val="11"/>
      <color indexed="8"/>
      <name val="Calibri"/>
      <family val="2"/>
    </font>
    <font>
      <sz val="11"/>
      <color theme="1"/>
      <name val="Times New Roman"/>
      <family val="2"/>
    </font>
    <font>
      <sz val="11"/>
      <color indexed="9"/>
      <name val="Calibri"/>
      <family val="2"/>
    </font>
    <font>
      <sz val="11"/>
      <color theme="0"/>
      <name val="Times New Roman"/>
      <family val="2"/>
    </font>
    <font>
      <sz val="11"/>
      <color indexed="20"/>
      <name val="Calibri"/>
      <family val="2"/>
    </font>
    <font>
      <sz val="11"/>
      <color rgb="FF9C0006"/>
      <name val="Times New Roman"/>
      <family val="2"/>
    </font>
    <font>
      <b/>
      <sz val="11"/>
      <color indexed="52"/>
      <name val="Calibri"/>
      <family val="2"/>
    </font>
    <font>
      <b/>
      <sz val="11"/>
      <color rgb="FFFA7D00"/>
      <name val="Times New Roman"/>
      <family val="2"/>
    </font>
    <font>
      <b/>
      <sz val="11"/>
      <color indexed="9"/>
      <name val="Calibri"/>
      <family val="2"/>
    </font>
    <font>
      <b/>
      <sz val="11"/>
      <color theme="0"/>
      <name val="Times New Roman"/>
      <family val="2"/>
    </font>
    <font>
      <i/>
      <sz val="11"/>
      <color indexed="23"/>
      <name val="Calibri"/>
      <family val="2"/>
    </font>
    <font>
      <i/>
      <sz val="11"/>
      <color rgb="FF7F7F7F"/>
      <name val="Times New Roman"/>
      <family val="2"/>
    </font>
    <font>
      <sz val="6"/>
      <name val="Arial"/>
      <family val="2"/>
    </font>
    <font>
      <sz val="11"/>
      <color indexed="17"/>
      <name val="Calibri"/>
      <family val="2"/>
    </font>
    <font>
      <sz val="11"/>
      <color rgb="FF006100"/>
      <name val="Times New Roman"/>
      <family val="2"/>
    </font>
    <font>
      <b/>
      <sz val="15"/>
      <color indexed="56"/>
      <name val="Calibri"/>
      <family val="2"/>
    </font>
    <font>
      <b/>
      <sz val="15"/>
      <color theme="3"/>
      <name val="Times New Roman"/>
      <family val="2"/>
    </font>
    <font>
      <b/>
      <sz val="13"/>
      <color indexed="56"/>
      <name val="Calibri"/>
      <family val="2"/>
    </font>
    <font>
      <b/>
      <sz val="13"/>
      <color theme="3"/>
      <name val="Times New Roman"/>
      <family val="2"/>
    </font>
    <font>
      <b/>
      <sz val="11"/>
      <color indexed="56"/>
      <name val="Calibri"/>
      <family val="2"/>
    </font>
    <font>
      <b/>
      <sz val="11"/>
      <color theme="3"/>
      <name val="Times New Roman"/>
      <family val="2"/>
    </font>
    <font>
      <sz val="11"/>
      <color indexed="62"/>
      <name val="Calibri"/>
      <family val="2"/>
    </font>
    <font>
      <sz val="11"/>
      <color rgb="FF3F3F76"/>
      <name val="Times New Roman"/>
      <family val="2"/>
    </font>
    <font>
      <sz val="11"/>
      <color indexed="52"/>
      <name val="Calibri"/>
      <family val="2"/>
    </font>
    <font>
      <sz val="11"/>
      <color rgb="FFFA7D00"/>
      <name val="Times New Roman"/>
      <family val="2"/>
    </font>
    <font>
      <sz val="11"/>
      <color indexed="60"/>
      <name val="Calibri"/>
      <family val="2"/>
    </font>
    <font>
      <sz val="11"/>
      <color rgb="FF9C6500"/>
      <name val="Times New Roman"/>
      <family val="2"/>
    </font>
    <font>
      <sz val="10"/>
      <name val="MS Sans Serif"/>
      <family val="2"/>
    </font>
    <font>
      <sz val="11"/>
      <color indexed="8"/>
      <name val="Times New Roman"/>
      <family val="2"/>
    </font>
    <font>
      <b/>
      <sz val="11"/>
      <color indexed="63"/>
      <name val="Calibri"/>
      <family val="2"/>
    </font>
    <font>
      <b/>
      <sz val="11"/>
      <color rgb="FF3F3F3F"/>
      <name val="Times New Roman"/>
      <family val="2"/>
    </font>
    <font>
      <b/>
      <i/>
      <sz val="10"/>
      <color indexed="8"/>
      <name val="Arial"/>
      <family val="2"/>
    </font>
    <font>
      <b/>
      <i/>
      <sz val="22"/>
      <color indexed="8"/>
      <name val="Times New Roman"/>
      <family val="1"/>
    </font>
    <font>
      <b/>
      <sz val="18"/>
      <color indexed="56"/>
      <name val="Cambria"/>
      <family val="2"/>
    </font>
    <font>
      <b/>
      <sz val="11"/>
      <color indexed="8"/>
      <name val="Calibri"/>
      <family val="2"/>
    </font>
    <font>
      <b/>
      <sz val="11"/>
      <color theme="1"/>
      <name val="Times New Roman"/>
      <family val="2"/>
    </font>
    <font>
      <sz val="11"/>
      <color indexed="10"/>
      <name val="Calibri"/>
      <family val="2"/>
    </font>
    <font>
      <sz val="11"/>
      <color rgb="FFFF0000"/>
      <name val="Times New Roman"/>
      <family val="2"/>
    </font>
    <font>
      <b/>
      <sz val="11"/>
      <color theme="1"/>
      <name val="Calibri"/>
      <family val="2"/>
      <scheme val="minor"/>
    </font>
    <font>
      <sz val="12"/>
      <color theme="1"/>
      <name val="Calibri"/>
      <family val="2"/>
      <scheme val="minor"/>
    </font>
    <font>
      <sz val="9"/>
      <color indexed="81"/>
      <name val="Tahoma"/>
      <family val="2"/>
    </font>
    <font>
      <b/>
      <sz val="9"/>
      <color indexed="81"/>
      <name val="Tahoma"/>
      <family val="2"/>
    </font>
    <font>
      <b/>
      <sz val="10"/>
      <color theme="1"/>
      <name val="Calibri"/>
      <family val="2"/>
      <scheme val="minor"/>
    </font>
    <font>
      <b/>
      <sz val="12"/>
      <color theme="1"/>
      <name val="Calibri"/>
      <family val="2"/>
      <scheme val="minor"/>
    </font>
    <font>
      <b/>
      <sz val="11"/>
      <color rgb="FF0070C0"/>
      <name val="Calibri"/>
      <family val="2"/>
      <scheme val="minor"/>
    </font>
    <font>
      <b/>
      <u/>
      <sz val="11"/>
      <color theme="1"/>
      <name val="Calibri"/>
      <family val="2"/>
      <scheme val="minor"/>
    </font>
    <font>
      <b/>
      <sz val="12"/>
      <name val="Calibri"/>
      <family val="2"/>
      <scheme val="minor"/>
    </font>
    <font>
      <sz val="12"/>
      <name val="Calibri"/>
      <family val="2"/>
      <scheme val="minor"/>
    </font>
    <font>
      <b/>
      <u/>
      <sz val="12"/>
      <name val="Calibri"/>
      <family val="2"/>
      <scheme val="minor"/>
    </font>
    <font>
      <u/>
      <sz val="12"/>
      <name val="Calibri"/>
      <family val="2"/>
      <scheme val="minor"/>
    </font>
    <font>
      <sz val="12"/>
      <color indexed="10"/>
      <name val="Calibri"/>
      <family val="2"/>
      <scheme val="minor"/>
    </font>
    <font>
      <sz val="12"/>
      <color rgb="FFFF0000"/>
      <name val="Calibri"/>
      <family val="2"/>
      <scheme val="minor"/>
    </font>
    <font>
      <u val="singleAccounting"/>
      <sz val="12"/>
      <color theme="1"/>
      <name val="Calibri"/>
      <family val="2"/>
      <scheme val="minor"/>
    </font>
    <font>
      <u/>
      <sz val="12"/>
      <color theme="1"/>
      <name val="Calibri"/>
      <family val="2"/>
      <scheme val="minor"/>
    </font>
    <font>
      <u val="doubleAccounting"/>
      <sz val="12"/>
      <color theme="1"/>
      <name val="Calibri"/>
      <family val="2"/>
      <scheme val="minor"/>
    </font>
    <font>
      <u val="singleAccounting"/>
      <sz val="12"/>
      <name val="Calibri"/>
      <family val="2"/>
      <scheme val="minor"/>
    </font>
    <font>
      <u val="doubleAccounting"/>
      <sz val="12"/>
      <name val="Calibri"/>
      <family val="2"/>
      <scheme val="minor"/>
    </font>
    <font>
      <sz val="12"/>
      <color rgb="FF0070C0"/>
      <name val="Calibri"/>
      <family val="2"/>
      <scheme val="minor"/>
    </font>
  </fonts>
  <fills count="58">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00FF"/>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49">
    <xf numFmtId="0" fontId="0" fillId="0" borderId="0"/>
    <xf numFmtId="43" fontId="3"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43" fontId="6" fillId="0" borderId="0" applyFont="0" applyFill="0" applyBorder="0" applyAlignment="0" applyProtection="0"/>
    <xf numFmtId="9" fontId="4" fillId="0" borderId="0" applyFont="0" applyFill="0" applyBorder="0" applyAlignment="0" applyProtection="0"/>
    <xf numFmtId="174" fontId="9" fillId="0" borderId="0"/>
    <xf numFmtId="0" fontId="3" fillId="0" borderId="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6" fontId="15" fillId="11" borderId="0" applyNumberFormat="0" applyBorder="0" applyAlignment="0" applyProtection="0"/>
    <xf numFmtId="166" fontId="15" fillId="11" borderId="0" applyNumberFormat="0" applyBorder="0" applyAlignment="0" applyProtection="0"/>
    <xf numFmtId="172" fontId="14" fillId="34" borderId="0" applyNumberFormat="0" applyBorder="0" applyAlignment="0" applyProtection="0"/>
    <xf numFmtId="172" fontId="14" fillId="34" borderId="0" applyNumberFormat="0" applyBorder="0" applyAlignment="0" applyProtection="0"/>
    <xf numFmtId="172" fontId="14" fillId="34" borderId="0" applyNumberFormat="0" applyBorder="0" applyAlignment="0" applyProtection="0"/>
    <xf numFmtId="172" fontId="14" fillId="34" borderId="0" applyNumberFormat="0" applyBorder="0" applyAlignment="0" applyProtection="0"/>
    <xf numFmtId="172" fontId="14" fillId="34" borderId="0" applyNumberFormat="0" applyBorder="0" applyAlignment="0" applyProtection="0"/>
    <xf numFmtId="172" fontId="14" fillId="34" borderId="0" applyNumberFormat="0" applyBorder="0" applyAlignment="0" applyProtection="0"/>
    <xf numFmtId="172"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166" fontId="15" fillId="15" borderId="0" applyNumberFormat="0" applyBorder="0" applyAlignment="0" applyProtection="0"/>
    <xf numFmtId="166" fontId="15" fillId="15" borderId="0" applyNumberFormat="0" applyBorder="0" applyAlignment="0" applyProtection="0"/>
    <xf numFmtId="172" fontId="14" fillId="35" borderId="0" applyNumberFormat="0" applyBorder="0" applyAlignment="0" applyProtection="0"/>
    <xf numFmtId="172" fontId="14" fillId="35" borderId="0" applyNumberFormat="0" applyBorder="0" applyAlignment="0" applyProtection="0"/>
    <xf numFmtId="172" fontId="14" fillId="35" borderId="0" applyNumberFormat="0" applyBorder="0" applyAlignment="0" applyProtection="0"/>
    <xf numFmtId="172" fontId="14" fillId="35" borderId="0" applyNumberFormat="0" applyBorder="0" applyAlignment="0" applyProtection="0"/>
    <xf numFmtId="172" fontId="14" fillId="35" borderId="0" applyNumberFormat="0" applyBorder="0" applyAlignment="0" applyProtection="0"/>
    <xf numFmtId="172" fontId="14" fillId="35" borderId="0" applyNumberFormat="0" applyBorder="0" applyAlignment="0" applyProtection="0"/>
    <xf numFmtId="172"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166" fontId="15" fillId="19" borderId="0" applyNumberFormat="0" applyBorder="0" applyAlignment="0" applyProtection="0"/>
    <xf numFmtId="166" fontId="15" fillId="19" borderId="0" applyNumberFormat="0" applyBorder="0" applyAlignment="0" applyProtection="0"/>
    <xf numFmtId="172" fontId="14" fillId="36" borderId="0" applyNumberFormat="0" applyBorder="0" applyAlignment="0" applyProtection="0"/>
    <xf numFmtId="172" fontId="14" fillId="36" borderId="0" applyNumberFormat="0" applyBorder="0" applyAlignment="0" applyProtection="0"/>
    <xf numFmtId="172" fontId="14" fillId="36" borderId="0" applyNumberFormat="0" applyBorder="0" applyAlignment="0" applyProtection="0"/>
    <xf numFmtId="172" fontId="14" fillId="36" borderId="0" applyNumberFormat="0" applyBorder="0" applyAlignment="0" applyProtection="0"/>
    <xf numFmtId="172" fontId="14" fillId="36" borderId="0" applyNumberFormat="0" applyBorder="0" applyAlignment="0" applyProtection="0"/>
    <xf numFmtId="172" fontId="14" fillId="36" borderId="0" applyNumberFormat="0" applyBorder="0" applyAlignment="0" applyProtection="0"/>
    <xf numFmtId="172"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6" fontId="15" fillId="23" borderId="0" applyNumberFormat="0" applyBorder="0" applyAlignment="0" applyProtection="0"/>
    <xf numFmtId="166" fontId="15" fillId="23"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6" fontId="15" fillId="27" borderId="0" applyNumberFormat="0" applyBorder="0" applyAlignment="0" applyProtection="0"/>
    <xf numFmtId="166" fontId="15" fillId="27" borderId="0" applyNumberFormat="0" applyBorder="0" applyAlignment="0" applyProtection="0"/>
    <xf numFmtId="172" fontId="14" fillId="38" borderId="0" applyNumberFormat="0" applyBorder="0" applyAlignment="0" applyProtection="0"/>
    <xf numFmtId="172" fontId="14" fillId="38" borderId="0" applyNumberFormat="0" applyBorder="0" applyAlignment="0" applyProtection="0"/>
    <xf numFmtId="172" fontId="14" fillId="38" borderId="0" applyNumberFormat="0" applyBorder="0" applyAlignment="0" applyProtection="0"/>
    <xf numFmtId="172" fontId="14" fillId="38" borderId="0" applyNumberFormat="0" applyBorder="0" applyAlignment="0" applyProtection="0"/>
    <xf numFmtId="172" fontId="14" fillId="38" borderId="0" applyNumberFormat="0" applyBorder="0" applyAlignment="0" applyProtection="0"/>
    <xf numFmtId="172" fontId="14" fillId="38" borderId="0" applyNumberFormat="0" applyBorder="0" applyAlignment="0" applyProtection="0"/>
    <xf numFmtId="172"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6" fontId="15" fillId="31" borderId="0" applyNumberFormat="0" applyBorder="0" applyAlignment="0" applyProtection="0"/>
    <xf numFmtId="166" fontId="15" fillId="31" borderId="0" applyNumberFormat="0" applyBorder="0" applyAlignment="0" applyProtection="0"/>
    <xf numFmtId="172" fontId="14" fillId="39" borderId="0" applyNumberFormat="0" applyBorder="0" applyAlignment="0" applyProtection="0"/>
    <xf numFmtId="172" fontId="14" fillId="39" borderId="0" applyNumberFormat="0" applyBorder="0" applyAlignment="0" applyProtection="0"/>
    <xf numFmtId="172" fontId="14" fillId="39" borderId="0" applyNumberFormat="0" applyBorder="0" applyAlignment="0" applyProtection="0"/>
    <xf numFmtId="172" fontId="14" fillId="39" borderId="0" applyNumberFormat="0" applyBorder="0" applyAlignment="0" applyProtection="0"/>
    <xf numFmtId="172" fontId="14" fillId="39" borderId="0" applyNumberFormat="0" applyBorder="0" applyAlignment="0" applyProtection="0"/>
    <xf numFmtId="172" fontId="14" fillId="39" borderId="0" applyNumberFormat="0" applyBorder="0" applyAlignment="0" applyProtection="0"/>
    <xf numFmtId="172"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6" fontId="15" fillId="12" borderId="0" applyNumberFormat="0" applyBorder="0" applyAlignment="0" applyProtection="0"/>
    <xf numFmtId="166" fontId="15" fillId="12"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66" fontId="15" fillId="16" borderId="0" applyNumberFormat="0" applyBorder="0" applyAlignment="0" applyProtection="0"/>
    <xf numFmtId="166" fontId="15" fillId="16" borderId="0" applyNumberFormat="0" applyBorder="0" applyAlignment="0" applyProtection="0"/>
    <xf numFmtId="172" fontId="14" fillId="41" borderId="0" applyNumberFormat="0" applyBorder="0" applyAlignment="0" applyProtection="0"/>
    <xf numFmtId="172" fontId="14" fillId="41" borderId="0" applyNumberFormat="0" applyBorder="0" applyAlignment="0" applyProtection="0"/>
    <xf numFmtId="172" fontId="14" fillId="41" borderId="0" applyNumberFormat="0" applyBorder="0" applyAlignment="0" applyProtection="0"/>
    <xf numFmtId="172" fontId="14" fillId="41" borderId="0" applyNumberFormat="0" applyBorder="0" applyAlignment="0" applyProtection="0"/>
    <xf numFmtId="172" fontId="14" fillId="41" borderId="0" applyNumberFormat="0" applyBorder="0" applyAlignment="0" applyProtection="0"/>
    <xf numFmtId="172" fontId="14" fillId="41" borderId="0" applyNumberFormat="0" applyBorder="0" applyAlignment="0" applyProtection="0"/>
    <xf numFmtId="172"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66" fontId="15" fillId="20" borderId="0" applyNumberFormat="0" applyBorder="0" applyAlignment="0" applyProtection="0"/>
    <xf numFmtId="166" fontId="15" fillId="20" borderId="0" applyNumberFormat="0" applyBorder="0" applyAlignment="0" applyProtection="0"/>
    <xf numFmtId="172" fontId="14" fillId="42" borderId="0" applyNumberFormat="0" applyBorder="0" applyAlignment="0" applyProtection="0"/>
    <xf numFmtId="172" fontId="14" fillId="42" borderId="0" applyNumberFormat="0" applyBorder="0" applyAlignment="0" applyProtection="0"/>
    <xf numFmtId="172" fontId="14" fillId="42" borderId="0" applyNumberFormat="0" applyBorder="0" applyAlignment="0" applyProtection="0"/>
    <xf numFmtId="172" fontId="14" fillId="42" borderId="0" applyNumberFormat="0" applyBorder="0" applyAlignment="0" applyProtection="0"/>
    <xf numFmtId="172" fontId="14" fillId="42" borderId="0" applyNumberFormat="0" applyBorder="0" applyAlignment="0" applyProtection="0"/>
    <xf numFmtId="172" fontId="14" fillId="42" borderId="0" applyNumberFormat="0" applyBorder="0" applyAlignment="0" applyProtection="0"/>
    <xf numFmtId="172" fontId="14" fillId="42" borderId="0" applyNumberFormat="0" applyBorder="0" applyAlignment="0" applyProtection="0"/>
    <xf numFmtId="0" fontId="14" fillId="42"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6" fontId="15" fillId="24" borderId="0" applyNumberFormat="0" applyBorder="0" applyAlignment="0" applyProtection="0"/>
    <xf numFmtId="166" fontId="15" fillId="24"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172" fontId="14" fillId="37" borderId="0" applyNumberFormat="0" applyBorder="0" applyAlignment="0" applyProtection="0"/>
    <xf numFmtId="0" fontId="14" fillId="37"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6" fontId="15" fillId="28" borderId="0" applyNumberFormat="0" applyBorder="0" applyAlignment="0" applyProtection="0"/>
    <xf numFmtId="166" fontId="15" fillId="28"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172" fontId="14"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166" fontId="15" fillId="32" borderId="0" applyNumberFormat="0" applyBorder="0" applyAlignment="0" applyProtection="0"/>
    <xf numFmtId="166" fontId="15" fillId="32" borderId="0" applyNumberFormat="0" applyBorder="0" applyAlignment="0" applyProtection="0"/>
    <xf numFmtId="172" fontId="14" fillId="43" borderId="0" applyNumberFormat="0" applyBorder="0" applyAlignment="0" applyProtection="0"/>
    <xf numFmtId="172" fontId="14" fillId="43" borderId="0" applyNumberFormat="0" applyBorder="0" applyAlignment="0" applyProtection="0"/>
    <xf numFmtId="172" fontId="14" fillId="43" borderId="0" applyNumberFormat="0" applyBorder="0" applyAlignment="0" applyProtection="0"/>
    <xf numFmtId="172" fontId="14" fillId="43" borderId="0" applyNumberFormat="0" applyBorder="0" applyAlignment="0" applyProtection="0"/>
    <xf numFmtId="172" fontId="14" fillId="43" borderId="0" applyNumberFormat="0" applyBorder="0" applyAlignment="0" applyProtection="0"/>
    <xf numFmtId="172" fontId="14" fillId="43" borderId="0" applyNumberFormat="0" applyBorder="0" applyAlignment="0" applyProtection="0"/>
    <xf numFmtId="172" fontId="14" fillId="43" borderId="0" applyNumberFormat="0" applyBorder="0" applyAlignment="0" applyProtection="0"/>
    <xf numFmtId="0" fontId="14" fillId="4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166" fontId="17" fillId="13" borderId="0" applyNumberFormat="0" applyBorder="0" applyAlignment="0" applyProtection="0"/>
    <xf numFmtId="166" fontId="17" fillId="13" borderId="0" applyNumberFormat="0" applyBorder="0" applyAlignment="0" applyProtection="0"/>
    <xf numFmtId="172" fontId="16" fillId="44" borderId="0" applyNumberFormat="0" applyBorder="0" applyAlignment="0" applyProtection="0"/>
    <xf numFmtId="172" fontId="16" fillId="44" borderId="0" applyNumberFormat="0" applyBorder="0" applyAlignment="0" applyProtection="0"/>
    <xf numFmtId="172" fontId="16" fillId="44" borderId="0" applyNumberFormat="0" applyBorder="0" applyAlignment="0" applyProtection="0"/>
    <xf numFmtId="172" fontId="16" fillId="44" borderId="0" applyNumberFormat="0" applyBorder="0" applyAlignment="0" applyProtection="0"/>
    <xf numFmtId="172" fontId="16" fillId="44" borderId="0" applyNumberFormat="0" applyBorder="0" applyAlignment="0" applyProtection="0"/>
    <xf numFmtId="172" fontId="16" fillId="44" borderId="0" applyNumberFormat="0" applyBorder="0" applyAlignment="0" applyProtection="0"/>
    <xf numFmtId="172" fontId="16" fillId="44" borderId="0" applyNumberFormat="0" applyBorder="0" applyAlignment="0" applyProtection="0"/>
    <xf numFmtId="0" fontId="16" fillId="44"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166" fontId="17" fillId="17" borderId="0" applyNumberFormat="0" applyBorder="0" applyAlignment="0" applyProtection="0"/>
    <xf numFmtId="166" fontId="17" fillId="17" borderId="0" applyNumberFormat="0" applyBorder="0" applyAlignment="0" applyProtection="0"/>
    <xf numFmtId="172" fontId="16" fillId="41" borderId="0" applyNumberFormat="0" applyBorder="0" applyAlignment="0" applyProtection="0"/>
    <xf numFmtId="172" fontId="16" fillId="41" borderId="0" applyNumberFormat="0" applyBorder="0" applyAlignment="0" applyProtection="0"/>
    <xf numFmtId="172" fontId="16" fillId="41" borderId="0" applyNumberFormat="0" applyBorder="0" applyAlignment="0" applyProtection="0"/>
    <xf numFmtId="172" fontId="16" fillId="41" borderId="0" applyNumberFormat="0" applyBorder="0" applyAlignment="0" applyProtection="0"/>
    <xf numFmtId="172" fontId="16" fillId="41" borderId="0" applyNumberFormat="0" applyBorder="0" applyAlignment="0" applyProtection="0"/>
    <xf numFmtId="172" fontId="16" fillId="41" borderId="0" applyNumberFormat="0" applyBorder="0" applyAlignment="0" applyProtection="0"/>
    <xf numFmtId="172" fontId="16" fillId="41"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166" fontId="17" fillId="21" borderId="0" applyNumberFormat="0" applyBorder="0" applyAlignment="0" applyProtection="0"/>
    <xf numFmtId="166" fontId="17" fillId="21" borderId="0" applyNumberFormat="0" applyBorder="0" applyAlignment="0" applyProtection="0"/>
    <xf numFmtId="172" fontId="16" fillId="42" borderId="0" applyNumberFormat="0" applyBorder="0" applyAlignment="0" applyProtection="0"/>
    <xf numFmtId="172" fontId="16" fillId="42" borderId="0" applyNumberFormat="0" applyBorder="0" applyAlignment="0" applyProtection="0"/>
    <xf numFmtId="172" fontId="16" fillId="42" borderId="0" applyNumberFormat="0" applyBorder="0" applyAlignment="0" applyProtection="0"/>
    <xf numFmtId="172" fontId="16" fillId="42" borderId="0" applyNumberFormat="0" applyBorder="0" applyAlignment="0" applyProtection="0"/>
    <xf numFmtId="172" fontId="16" fillId="42" borderId="0" applyNumberFormat="0" applyBorder="0" applyAlignment="0" applyProtection="0"/>
    <xf numFmtId="172" fontId="16" fillId="42" borderId="0" applyNumberFormat="0" applyBorder="0" applyAlignment="0" applyProtection="0"/>
    <xf numFmtId="172" fontId="16" fillId="42" borderId="0" applyNumberFormat="0" applyBorder="0" applyAlignment="0" applyProtection="0"/>
    <xf numFmtId="0" fontId="16" fillId="42"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166" fontId="17" fillId="25"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166" fontId="17" fillId="29" borderId="0" applyNumberFormat="0" applyBorder="0" applyAlignment="0" applyProtection="0"/>
    <xf numFmtId="166" fontId="17" fillId="29"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166" fontId="17" fillId="33" borderId="0" applyNumberFormat="0" applyBorder="0" applyAlignment="0" applyProtection="0"/>
    <xf numFmtId="166" fontId="17" fillId="33" borderId="0" applyNumberFormat="0" applyBorder="0" applyAlignment="0" applyProtection="0"/>
    <xf numFmtId="172" fontId="16" fillId="47" borderId="0" applyNumberFormat="0" applyBorder="0" applyAlignment="0" applyProtection="0"/>
    <xf numFmtId="172" fontId="16" fillId="47" borderId="0" applyNumberFormat="0" applyBorder="0" applyAlignment="0" applyProtection="0"/>
    <xf numFmtId="172" fontId="16" fillId="47" borderId="0" applyNumberFormat="0" applyBorder="0" applyAlignment="0" applyProtection="0"/>
    <xf numFmtId="172" fontId="16" fillId="47" borderId="0" applyNumberFormat="0" applyBorder="0" applyAlignment="0" applyProtection="0"/>
    <xf numFmtId="172" fontId="16" fillId="47" borderId="0" applyNumberFormat="0" applyBorder="0" applyAlignment="0" applyProtection="0"/>
    <xf numFmtId="172" fontId="16" fillId="47" borderId="0" applyNumberFormat="0" applyBorder="0" applyAlignment="0" applyProtection="0"/>
    <xf numFmtId="172" fontId="16" fillId="47"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166" fontId="17" fillId="10" borderId="0" applyNumberFormat="0" applyBorder="0" applyAlignment="0" applyProtection="0"/>
    <xf numFmtId="166" fontId="17" fillId="10" borderId="0" applyNumberFormat="0" applyBorder="0" applyAlignment="0" applyProtection="0"/>
    <xf numFmtId="172" fontId="16" fillId="48" borderId="0" applyNumberFormat="0" applyBorder="0" applyAlignment="0" applyProtection="0"/>
    <xf numFmtId="172" fontId="16" fillId="48" borderId="0" applyNumberFormat="0" applyBorder="0" applyAlignment="0" applyProtection="0"/>
    <xf numFmtId="172" fontId="16" fillId="48" borderId="0" applyNumberFormat="0" applyBorder="0" applyAlignment="0" applyProtection="0"/>
    <xf numFmtId="172" fontId="16" fillId="48" borderId="0" applyNumberFormat="0" applyBorder="0" applyAlignment="0" applyProtection="0"/>
    <xf numFmtId="172" fontId="16" fillId="48" borderId="0" applyNumberFormat="0" applyBorder="0" applyAlignment="0" applyProtection="0"/>
    <xf numFmtId="172" fontId="16" fillId="48" borderId="0" applyNumberFormat="0" applyBorder="0" applyAlignment="0" applyProtection="0"/>
    <xf numFmtId="172" fontId="16"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166" fontId="17" fillId="14" borderId="0" applyNumberFormat="0" applyBorder="0" applyAlignment="0" applyProtection="0"/>
    <xf numFmtId="166" fontId="17" fillId="14" borderId="0" applyNumberFormat="0" applyBorder="0" applyAlignment="0" applyProtection="0"/>
    <xf numFmtId="172" fontId="16" fillId="49" borderId="0" applyNumberFormat="0" applyBorder="0" applyAlignment="0" applyProtection="0"/>
    <xf numFmtId="172" fontId="16" fillId="49" borderId="0" applyNumberFormat="0" applyBorder="0" applyAlignment="0" applyProtection="0"/>
    <xf numFmtId="172" fontId="16" fillId="49" borderId="0" applyNumberFormat="0" applyBorder="0" applyAlignment="0" applyProtection="0"/>
    <xf numFmtId="172" fontId="16" fillId="49" borderId="0" applyNumberFormat="0" applyBorder="0" applyAlignment="0" applyProtection="0"/>
    <xf numFmtId="172" fontId="16" fillId="49" borderId="0" applyNumberFormat="0" applyBorder="0" applyAlignment="0" applyProtection="0"/>
    <xf numFmtId="172" fontId="16" fillId="49" borderId="0" applyNumberFormat="0" applyBorder="0" applyAlignment="0" applyProtection="0"/>
    <xf numFmtId="172" fontId="16"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166" fontId="17" fillId="18" borderId="0" applyNumberFormat="0" applyBorder="0" applyAlignment="0" applyProtection="0"/>
    <xf numFmtId="166" fontId="17" fillId="18" borderId="0" applyNumberFormat="0" applyBorder="0" applyAlignment="0" applyProtection="0"/>
    <xf numFmtId="172" fontId="16" fillId="50" borderId="0" applyNumberFormat="0" applyBorder="0" applyAlignment="0" applyProtection="0"/>
    <xf numFmtId="172" fontId="16" fillId="50" borderId="0" applyNumberFormat="0" applyBorder="0" applyAlignment="0" applyProtection="0"/>
    <xf numFmtId="172" fontId="16" fillId="50" borderId="0" applyNumberFormat="0" applyBorder="0" applyAlignment="0" applyProtection="0"/>
    <xf numFmtId="172" fontId="16" fillId="50" borderId="0" applyNumberFormat="0" applyBorder="0" applyAlignment="0" applyProtection="0"/>
    <xf numFmtId="172" fontId="16" fillId="50" borderId="0" applyNumberFormat="0" applyBorder="0" applyAlignment="0" applyProtection="0"/>
    <xf numFmtId="172" fontId="16" fillId="50" borderId="0" applyNumberFormat="0" applyBorder="0" applyAlignment="0" applyProtection="0"/>
    <xf numFmtId="172" fontId="16" fillId="50" borderId="0" applyNumberFormat="0" applyBorder="0" applyAlignment="0" applyProtection="0"/>
    <xf numFmtId="0" fontId="16" fillId="50"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166" fontId="17" fillId="22" borderId="0" applyNumberFormat="0" applyBorder="0" applyAlignment="0" applyProtection="0"/>
    <xf numFmtId="166" fontId="17" fillId="22"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172" fontId="16" fillId="45"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166" fontId="17" fillId="26" borderId="0" applyNumberFormat="0" applyBorder="0" applyAlignment="0" applyProtection="0"/>
    <xf numFmtId="166" fontId="17" fillId="26"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172" fontId="16" fillId="46" borderId="0" applyNumberFormat="0" applyBorder="0" applyAlignment="0" applyProtection="0"/>
    <xf numFmtId="0" fontId="16" fillId="46"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166" fontId="17" fillId="30" borderId="0" applyNumberFormat="0" applyBorder="0" applyAlignment="0" applyProtection="0"/>
    <xf numFmtId="166" fontId="17" fillId="30" borderId="0" applyNumberFormat="0" applyBorder="0" applyAlignment="0" applyProtection="0"/>
    <xf numFmtId="172" fontId="16" fillId="51" borderId="0" applyNumberFormat="0" applyBorder="0" applyAlignment="0" applyProtection="0"/>
    <xf numFmtId="172" fontId="16" fillId="51" borderId="0" applyNumberFormat="0" applyBorder="0" applyAlignment="0" applyProtection="0"/>
    <xf numFmtId="172" fontId="16" fillId="51" borderId="0" applyNumberFormat="0" applyBorder="0" applyAlignment="0" applyProtection="0"/>
    <xf numFmtId="172" fontId="16" fillId="51" borderId="0" applyNumberFormat="0" applyBorder="0" applyAlignment="0" applyProtection="0"/>
    <xf numFmtId="172" fontId="16" fillId="51" borderId="0" applyNumberFormat="0" applyBorder="0" applyAlignment="0" applyProtection="0"/>
    <xf numFmtId="172" fontId="16" fillId="51" borderId="0" applyNumberFormat="0" applyBorder="0" applyAlignment="0" applyProtection="0"/>
    <xf numFmtId="172" fontId="16" fillId="51" borderId="0" applyNumberFormat="0" applyBorder="0" applyAlignment="0" applyProtection="0"/>
    <xf numFmtId="0" fontId="16" fillId="5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166" fontId="19" fillId="4" borderId="0" applyNumberFormat="0" applyBorder="0" applyAlignment="0" applyProtection="0"/>
    <xf numFmtId="166" fontId="19" fillId="4" borderId="0" applyNumberFormat="0" applyBorder="0" applyAlignment="0" applyProtection="0"/>
    <xf numFmtId="172" fontId="18" fillId="35" borderId="0" applyNumberFormat="0" applyBorder="0" applyAlignment="0" applyProtection="0"/>
    <xf numFmtId="172" fontId="18" fillId="35" borderId="0" applyNumberFormat="0" applyBorder="0" applyAlignment="0" applyProtection="0"/>
    <xf numFmtId="172" fontId="18" fillId="35" borderId="0" applyNumberFormat="0" applyBorder="0" applyAlignment="0" applyProtection="0"/>
    <xf numFmtId="172" fontId="18" fillId="35" borderId="0" applyNumberFormat="0" applyBorder="0" applyAlignment="0" applyProtection="0"/>
    <xf numFmtId="172" fontId="18" fillId="35" borderId="0" applyNumberFormat="0" applyBorder="0" applyAlignment="0" applyProtection="0"/>
    <xf numFmtId="172" fontId="18" fillId="35" borderId="0" applyNumberFormat="0" applyBorder="0" applyAlignment="0" applyProtection="0"/>
    <xf numFmtId="172" fontId="18" fillId="35" borderId="0" applyNumberFormat="0" applyBorder="0" applyAlignment="0" applyProtection="0"/>
    <xf numFmtId="0" fontId="18" fillId="35" borderId="0" applyNumberFormat="0" applyBorder="0" applyAlignment="0" applyProtection="0"/>
    <xf numFmtId="0" fontId="20" fillId="52" borderId="16" applyNumberFormat="0" applyAlignment="0" applyProtection="0"/>
    <xf numFmtId="0" fontId="20" fillId="52" borderId="16" applyNumberFormat="0" applyAlignment="0" applyProtection="0"/>
    <xf numFmtId="0" fontId="20" fillId="52" borderId="16" applyNumberFormat="0" applyAlignment="0" applyProtection="0"/>
    <xf numFmtId="0" fontId="20" fillId="52" borderId="16" applyNumberFormat="0" applyAlignment="0" applyProtection="0"/>
    <xf numFmtId="0" fontId="20" fillId="52" borderId="16" applyNumberFormat="0" applyAlignment="0" applyProtection="0"/>
    <xf numFmtId="166" fontId="21" fillId="7" borderId="8" applyNumberFormat="0" applyAlignment="0" applyProtection="0"/>
    <xf numFmtId="166" fontId="21" fillId="7" borderId="8" applyNumberFormat="0" applyAlignment="0" applyProtection="0"/>
    <xf numFmtId="172" fontId="20" fillId="52" borderId="16" applyNumberFormat="0" applyAlignment="0" applyProtection="0"/>
    <xf numFmtId="172" fontId="20" fillId="52" borderId="16" applyNumberFormat="0" applyAlignment="0" applyProtection="0"/>
    <xf numFmtId="172" fontId="20" fillId="52" borderId="16" applyNumberFormat="0" applyAlignment="0" applyProtection="0"/>
    <xf numFmtId="172" fontId="20" fillId="52" borderId="16" applyNumberFormat="0" applyAlignment="0" applyProtection="0"/>
    <xf numFmtId="172" fontId="20" fillId="52" borderId="16" applyNumberFormat="0" applyAlignment="0" applyProtection="0"/>
    <xf numFmtId="172" fontId="20" fillId="52" borderId="16" applyNumberFormat="0" applyAlignment="0" applyProtection="0"/>
    <xf numFmtId="172" fontId="20" fillId="52" borderId="16" applyNumberFormat="0" applyAlignment="0" applyProtection="0"/>
    <xf numFmtId="0" fontId="20" fillId="52" borderId="16" applyNumberFormat="0" applyAlignment="0" applyProtection="0"/>
    <xf numFmtId="0" fontId="22" fillId="53" borderId="17" applyNumberFormat="0" applyAlignment="0" applyProtection="0"/>
    <xf numFmtId="0" fontId="22" fillId="53" borderId="17" applyNumberFormat="0" applyAlignment="0" applyProtection="0"/>
    <xf numFmtId="0" fontId="22" fillId="53" borderId="17" applyNumberFormat="0" applyAlignment="0" applyProtection="0"/>
    <xf numFmtId="0" fontId="22" fillId="53" borderId="17" applyNumberFormat="0" applyAlignment="0" applyProtection="0"/>
    <xf numFmtId="0" fontId="22" fillId="53" borderId="17" applyNumberFormat="0" applyAlignment="0" applyProtection="0"/>
    <xf numFmtId="166" fontId="23" fillId="8" borderId="11" applyNumberFormat="0" applyAlignment="0" applyProtection="0"/>
    <xf numFmtId="166" fontId="23" fillId="8" borderId="11" applyNumberFormat="0" applyAlignment="0" applyProtection="0"/>
    <xf numFmtId="172" fontId="22" fillId="53" borderId="17" applyNumberFormat="0" applyAlignment="0" applyProtection="0"/>
    <xf numFmtId="172" fontId="22" fillId="53" borderId="17" applyNumberFormat="0" applyAlignment="0" applyProtection="0"/>
    <xf numFmtId="172" fontId="22" fillId="53" borderId="17" applyNumberFormat="0" applyAlignment="0" applyProtection="0"/>
    <xf numFmtId="172" fontId="22" fillId="53" borderId="17" applyNumberFormat="0" applyAlignment="0" applyProtection="0"/>
    <xf numFmtId="172" fontId="22" fillId="53" borderId="17" applyNumberFormat="0" applyAlignment="0" applyProtection="0"/>
    <xf numFmtId="172" fontId="22" fillId="53" borderId="17" applyNumberFormat="0" applyAlignment="0" applyProtection="0"/>
    <xf numFmtId="172" fontId="22" fillId="53" borderId="17" applyNumberFormat="0" applyAlignment="0" applyProtection="0"/>
    <xf numFmtId="0" fontId="22" fillId="53" borderId="1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5" fillId="0" borderId="0" applyNumberFormat="0" applyFill="0" applyBorder="0" applyAlignment="0" applyProtection="0"/>
    <xf numFmtId="166" fontId="25" fillId="0" borderId="0" applyNumberFormat="0" applyFill="0" applyBorder="0" applyAlignment="0" applyProtection="0"/>
    <xf numFmtId="172" fontId="24" fillId="0" borderId="0" applyNumberFormat="0" applyFill="0" applyBorder="0" applyAlignment="0" applyProtection="0"/>
    <xf numFmtId="172" fontId="24" fillId="0" borderId="0" applyNumberFormat="0" applyFill="0" applyBorder="0" applyAlignment="0" applyProtection="0"/>
    <xf numFmtId="172" fontId="24" fillId="0" borderId="0" applyNumberFormat="0" applyFill="0" applyBorder="0" applyAlignment="0" applyProtection="0"/>
    <xf numFmtId="172" fontId="24" fillId="0" borderId="0" applyNumberFormat="0" applyFill="0" applyBorder="0" applyAlignment="0" applyProtection="0"/>
    <xf numFmtId="172" fontId="24" fillId="0" borderId="0" applyNumberFormat="0" applyFill="0" applyBorder="0" applyAlignment="0" applyProtection="0"/>
    <xf numFmtId="172" fontId="24" fillId="0" borderId="0" applyNumberFormat="0" applyFill="0" applyBorder="0" applyAlignment="0" applyProtection="0"/>
    <xf numFmtId="172" fontId="24" fillId="0" borderId="0" applyNumberFormat="0" applyFill="0" applyBorder="0" applyAlignment="0" applyProtection="0"/>
    <xf numFmtId="0" fontId="24" fillId="0" borderId="0" applyNumberFormat="0" applyFill="0" applyBorder="0" applyAlignment="0" applyProtection="0"/>
    <xf numFmtId="172"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166" fontId="1" fillId="0" borderId="0" applyProtection="0"/>
    <xf numFmtId="166" fontId="1" fillId="0" borderId="0" applyProtection="0"/>
    <xf numFmtId="0" fontId="1" fillId="0" borderId="0" applyProtection="0"/>
    <xf numFmtId="172"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166" fontId="7" fillId="0" borderId="0" applyProtection="0"/>
    <xf numFmtId="166" fontId="7" fillId="0" borderId="0" applyProtection="0"/>
    <xf numFmtId="0" fontId="7" fillId="0" borderId="0" applyProtection="0"/>
    <xf numFmtId="172"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166" fontId="10" fillId="0" borderId="0" applyProtection="0"/>
    <xf numFmtId="166" fontId="10" fillId="0" borderId="0" applyProtection="0"/>
    <xf numFmtId="0" fontId="10" fillId="0" borderId="0" applyProtection="0"/>
    <xf numFmtId="172"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166" fontId="2" fillId="0" borderId="0" applyProtection="0"/>
    <xf numFmtId="166" fontId="2" fillId="0" borderId="0" applyProtection="0"/>
    <xf numFmtId="0" fontId="2" fillId="0" borderId="0" applyProtection="0"/>
    <xf numFmtId="172"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166" fontId="3" fillId="0" borderId="0" applyProtection="0"/>
    <xf numFmtId="166" fontId="3" fillId="0" borderId="0" applyProtection="0"/>
    <xf numFmtId="0" fontId="3" fillId="0" borderId="0" applyProtection="0"/>
    <xf numFmtId="172"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0" fontId="1" fillId="0" borderId="0" applyProtection="0"/>
    <xf numFmtId="166" fontId="1" fillId="0" borderId="0" applyProtection="0"/>
    <xf numFmtId="166" fontId="1" fillId="0" borderId="0" applyProtection="0"/>
    <xf numFmtId="0" fontId="1" fillId="0" borderId="0" applyProtection="0"/>
    <xf numFmtId="172"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166" fontId="26" fillId="0" borderId="0" applyProtection="0"/>
    <xf numFmtId="166" fontId="26" fillId="0" borderId="0" applyProtection="0"/>
    <xf numFmtId="0" fontId="26" fillId="0" borderId="0" applyProtection="0"/>
    <xf numFmtId="2" fontId="3" fillId="0" borderId="0" applyFont="0" applyFill="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66" fontId="28" fillId="3" borderId="0" applyNumberFormat="0" applyBorder="0" applyAlignment="0" applyProtection="0"/>
    <xf numFmtId="166" fontId="28" fillId="3" borderId="0" applyNumberFormat="0" applyBorder="0" applyAlignment="0" applyProtection="0"/>
    <xf numFmtId="172" fontId="27" fillId="36" borderId="0" applyNumberFormat="0" applyBorder="0" applyAlignment="0" applyProtection="0"/>
    <xf numFmtId="172" fontId="27" fillId="36" borderId="0" applyNumberFormat="0" applyBorder="0" applyAlignment="0" applyProtection="0"/>
    <xf numFmtId="172" fontId="27" fillId="36" borderId="0" applyNumberFormat="0" applyBorder="0" applyAlignment="0" applyProtection="0"/>
    <xf numFmtId="172" fontId="27" fillId="36" borderId="0" applyNumberFormat="0" applyBorder="0" applyAlignment="0" applyProtection="0"/>
    <xf numFmtId="172" fontId="27" fillId="36" borderId="0" applyNumberFormat="0" applyBorder="0" applyAlignment="0" applyProtection="0"/>
    <xf numFmtId="172" fontId="27" fillId="36" borderId="0" applyNumberFormat="0" applyBorder="0" applyAlignment="0" applyProtection="0"/>
    <xf numFmtId="172" fontId="27" fillId="36" borderId="0" applyNumberFormat="0" applyBorder="0" applyAlignment="0" applyProtection="0"/>
    <xf numFmtId="0" fontId="27" fillId="36" borderId="0" applyNumberFormat="0" applyBorder="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166" fontId="30" fillId="0" borderId="5" applyNumberFormat="0" applyFill="0" applyAlignment="0" applyProtection="0"/>
    <xf numFmtId="166" fontId="30" fillId="0" borderId="5" applyNumberFormat="0" applyFill="0" applyAlignment="0" applyProtection="0"/>
    <xf numFmtId="172" fontId="29" fillId="0" borderId="18" applyNumberFormat="0" applyFill="0" applyAlignment="0" applyProtection="0"/>
    <xf numFmtId="172" fontId="29" fillId="0" borderId="18" applyNumberFormat="0" applyFill="0" applyAlignment="0" applyProtection="0"/>
    <xf numFmtId="172" fontId="29" fillId="0" borderId="18" applyNumberFormat="0" applyFill="0" applyAlignment="0" applyProtection="0"/>
    <xf numFmtId="172" fontId="29" fillId="0" borderId="18" applyNumberFormat="0" applyFill="0" applyAlignment="0" applyProtection="0"/>
    <xf numFmtId="172" fontId="29" fillId="0" borderId="18" applyNumberFormat="0" applyFill="0" applyAlignment="0" applyProtection="0"/>
    <xf numFmtId="172" fontId="29" fillId="0" borderId="18" applyNumberFormat="0" applyFill="0" applyAlignment="0" applyProtection="0"/>
    <xf numFmtId="172" fontId="29" fillId="0" borderId="18" applyNumberFormat="0" applyFill="0" applyAlignment="0" applyProtection="0"/>
    <xf numFmtId="0" fontId="29" fillId="0" borderId="18"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166" fontId="32" fillId="0" borderId="6" applyNumberFormat="0" applyFill="0" applyAlignment="0" applyProtection="0"/>
    <xf numFmtId="166" fontId="32" fillId="0" borderId="6" applyNumberFormat="0" applyFill="0" applyAlignment="0" applyProtection="0"/>
    <xf numFmtId="172" fontId="31" fillId="0" borderId="19" applyNumberFormat="0" applyFill="0" applyAlignment="0" applyProtection="0"/>
    <xf numFmtId="172" fontId="31" fillId="0" borderId="19" applyNumberFormat="0" applyFill="0" applyAlignment="0" applyProtection="0"/>
    <xf numFmtId="172" fontId="31" fillId="0" borderId="19" applyNumberFormat="0" applyFill="0" applyAlignment="0" applyProtection="0"/>
    <xf numFmtId="172" fontId="31" fillId="0" borderId="19" applyNumberFormat="0" applyFill="0" applyAlignment="0" applyProtection="0"/>
    <xf numFmtId="172" fontId="31" fillId="0" borderId="19" applyNumberFormat="0" applyFill="0" applyAlignment="0" applyProtection="0"/>
    <xf numFmtId="172" fontId="31" fillId="0" borderId="19" applyNumberFormat="0" applyFill="0" applyAlignment="0" applyProtection="0"/>
    <xf numFmtId="172" fontId="31" fillId="0" borderId="19" applyNumberFormat="0" applyFill="0" applyAlignment="0" applyProtection="0"/>
    <xf numFmtId="0" fontId="31" fillId="0" borderId="19"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0" fontId="33" fillId="0" borderId="20" applyNumberFormat="0" applyFill="0" applyAlignment="0" applyProtection="0"/>
    <xf numFmtId="166" fontId="34" fillId="0" borderId="7" applyNumberFormat="0" applyFill="0" applyAlignment="0" applyProtection="0"/>
    <xf numFmtId="166" fontId="34" fillId="0" borderId="7" applyNumberFormat="0" applyFill="0" applyAlignment="0" applyProtection="0"/>
    <xf numFmtId="172" fontId="33" fillId="0" borderId="20" applyNumberFormat="0" applyFill="0" applyAlignment="0" applyProtection="0"/>
    <xf numFmtId="172" fontId="33" fillId="0" borderId="20" applyNumberFormat="0" applyFill="0" applyAlignment="0" applyProtection="0"/>
    <xf numFmtId="172" fontId="33" fillId="0" borderId="20" applyNumberFormat="0" applyFill="0" applyAlignment="0" applyProtection="0"/>
    <xf numFmtId="172" fontId="33" fillId="0" borderId="20" applyNumberFormat="0" applyFill="0" applyAlignment="0" applyProtection="0"/>
    <xf numFmtId="172" fontId="33" fillId="0" borderId="20" applyNumberFormat="0" applyFill="0" applyAlignment="0" applyProtection="0"/>
    <xf numFmtId="172" fontId="33" fillId="0" borderId="20" applyNumberFormat="0" applyFill="0" applyAlignment="0" applyProtection="0"/>
    <xf numFmtId="172" fontId="33" fillId="0" borderId="20" applyNumberFormat="0" applyFill="0" applyAlignment="0" applyProtection="0"/>
    <xf numFmtId="0" fontId="33" fillId="0" borderId="2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0" fontId="33" fillId="0" borderId="0" applyNumberFormat="0" applyFill="0" applyBorder="0" applyAlignment="0" applyProtection="0"/>
    <xf numFmtId="0" fontId="35" fillId="39" borderId="16" applyNumberFormat="0" applyAlignment="0" applyProtection="0"/>
    <xf numFmtId="0" fontId="35" fillId="39" borderId="16" applyNumberFormat="0" applyAlignment="0" applyProtection="0"/>
    <xf numFmtId="0" fontId="35" fillId="39" borderId="16" applyNumberFormat="0" applyAlignment="0" applyProtection="0"/>
    <xf numFmtId="0" fontId="35" fillId="39" borderId="16" applyNumberFormat="0" applyAlignment="0" applyProtection="0"/>
    <xf numFmtId="0" fontId="35" fillId="39" borderId="16" applyNumberFormat="0" applyAlignment="0" applyProtection="0"/>
    <xf numFmtId="166" fontId="36" fillId="6" borderId="8" applyNumberFormat="0" applyAlignment="0" applyProtection="0"/>
    <xf numFmtId="166" fontId="36" fillId="6" borderId="8" applyNumberFormat="0" applyAlignment="0" applyProtection="0"/>
    <xf numFmtId="172" fontId="35" fillId="39" borderId="16" applyNumberFormat="0" applyAlignment="0" applyProtection="0"/>
    <xf numFmtId="172" fontId="35" fillId="39" borderId="16" applyNumberFormat="0" applyAlignment="0" applyProtection="0"/>
    <xf numFmtId="172" fontId="35" fillId="39" borderId="16" applyNumberFormat="0" applyAlignment="0" applyProtection="0"/>
    <xf numFmtId="172" fontId="35" fillId="39" borderId="16" applyNumberFormat="0" applyAlignment="0" applyProtection="0"/>
    <xf numFmtId="172" fontId="35" fillId="39" borderId="16" applyNumberFormat="0" applyAlignment="0" applyProtection="0"/>
    <xf numFmtId="172" fontId="35" fillId="39" borderId="16" applyNumberFormat="0" applyAlignment="0" applyProtection="0"/>
    <xf numFmtId="172" fontId="35" fillId="39" borderId="16" applyNumberFormat="0" applyAlignment="0" applyProtection="0"/>
    <xf numFmtId="0" fontId="35" fillId="39" borderId="16" applyNumberFormat="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166" fontId="38" fillId="0" borderId="10" applyNumberFormat="0" applyFill="0" applyAlignment="0" applyProtection="0"/>
    <xf numFmtId="166" fontId="38" fillId="0" borderId="10" applyNumberFormat="0" applyFill="0" applyAlignment="0" applyProtection="0"/>
    <xf numFmtId="172" fontId="37" fillId="0" borderId="21" applyNumberFormat="0" applyFill="0" applyAlignment="0" applyProtection="0"/>
    <xf numFmtId="172" fontId="37" fillId="0" borderId="21" applyNumberFormat="0" applyFill="0" applyAlignment="0" applyProtection="0"/>
    <xf numFmtId="172" fontId="37" fillId="0" borderId="21" applyNumberFormat="0" applyFill="0" applyAlignment="0" applyProtection="0"/>
    <xf numFmtId="172" fontId="37" fillId="0" borderId="21" applyNumberFormat="0" applyFill="0" applyAlignment="0" applyProtection="0"/>
    <xf numFmtId="172" fontId="37" fillId="0" borderId="21" applyNumberFormat="0" applyFill="0" applyAlignment="0" applyProtection="0"/>
    <xf numFmtId="172" fontId="37" fillId="0" borderId="21" applyNumberFormat="0" applyFill="0" applyAlignment="0" applyProtection="0"/>
    <xf numFmtId="172" fontId="37" fillId="0" borderId="21" applyNumberFormat="0" applyFill="0" applyAlignment="0" applyProtection="0"/>
    <xf numFmtId="0" fontId="37" fillId="0" borderId="21" applyNumberFormat="0" applyFill="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66" fontId="40" fillId="5" borderId="0" applyNumberFormat="0" applyBorder="0" applyAlignment="0" applyProtection="0"/>
    <xf numFmtId="166" fontId="40" fillId="5" borderId="0" applyNumberFormat="0" applyBorder="0" applyAlignment="0" applyProtection="0"/>
    <xf numFmtId="172" fontId="39" fillId="54" borderId="0" applyNumberFormat="0" applyBorder="0" applyAlignment="0" applyProtection="0"/>
    <xf numFmtId="172" fontId="39" fillId="54" borderId="0" applyNumberFormat="0" applyBorder="0" applyAlignment="0" applyProtection="0"/>
    <xf numFmtId="172" fontId="39" fillId="54" borderId="0" applyNumberFormat="0" applyBorder="0" applyAlignment="0" applyProtection="0"/>
    <xf numFmtId="172" fontId="39" fillId="54" borderId="0" applyNumberFormat="0" applyBorder="0" applyAlignment="0" applyProtection="0"/>
    <xf numFmtId="172" fontId="39" fillId="54" borderId="0" applyNumberFormat="0" applyBorder="0" applyAlignment="0" applyProtection="0"/>
    <xf numFmtId="172" fontId="39" fillId="54" borderId="0" applyNumberFormat="0" applyBorder="0" applyAlignment="0" applyProtection="0"/>
    <xf numFmtId="172" fontId="39" fillId="54" borderId="0" applyNumberFormat="0" applyBorder="0" applyAlignment="0" applyProtection="0"/>
    <xf numFmtId="0" fontId="39" fillId="54" borderId="0" applyNumberFormat="0" applyBorder="0" applyAlignment="0" applyProtection="0"/>
    <xf numFmtId="172" fontId="3" fillId="0" borderId="0"/>
    <xf numFmtId="172"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172" fontId="3" fillId="0" borderId="0"/>
    <xf numFmtId="172" fontId="3" fillId="0" borderId="0"/>
    <xf numFmtId="172" fontId="3" fillId="0" borderId="0"/>
    <xf numFmtId="172" fontId="3" fillId="0" borderId="0"/>
    <xf numFmtId="166" fontId="3" fillId="0" borderId="0"/>
    <xf numFmtId="166"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0" fontId="3" fillId="0" borderId="0"/>
    <xf numFmtId="41" fontId="13" fillId="0" borderId="0"/>
    <xf numFmtId="41" fontId="13" fillId="0" borderId="0"/>
    <xf numFmtId="41" fontId="13" fillId="0" borderId="0"/>
    <xf numFmtId="172" fontId="41" fillId="0" borderId="0"/>
    <xf numFmtId="172" fontId="41" fillId="0" borderId="0"/>
    <xf numFmtId="172" fontId="41" fillId="0" borderId="0"/>
    <xf numFmtId="172" fontId="41" fillId="0" borderId="0"/>
    <xf numFmtId="172" fontId="41" fillId="0" borderId="0"/>
    <xf numFmtId="166" fontId="15" fillId="0" borderId="0"/>
    <xf numFmtId="166" fontId="15" fillId="0" borderId="0"/>
    <xf numFmtId="172" fontId="41" fillId="0" borderId="0"/>
    <xf numFmtId="172" fontId="41" fillId="0" borderId="0"/>
    <xf numFmtId="172" fontId="41" fillId="0" borderId="0"/>
    <xf numFmtId="172" fontId="41" fillId="0" borderId="0"/>
    <xf numFmtId="172" fontId="41" fillId="0" borderId="0"/>
    <xf numFmtId="172" fontId="41" fillId="0" borderId="0"/>
    <xf numFmtId="172" fontId="41" fillId="0" borderId="0"/>
    <xf numFmtId="172" fontId="41" fillId="0" borderId="0"/>
    <xf numFmtId="172" fontId="41" fillId="0" borderId="0"/>
    <xf numFmtId="166" fontId="15" fillId="0" borderId="0"/>
    <xf numFmtId="166" fontId="15" fillId="0" borderId="0"/>
    <xf numFmtId="0" fontId="3" fillId="0" borderId="0"/>
    <xf numFmtId="166" fontId="15" fillId="0" borderId="0"/>
    <xf numFmtId="166" fontId="15" fillId="0" borderId="0"/>
    <xf numFmtId="172" fontId="3" fillId="0" borderId="0"/>
    <xf numFmtId="166" fontId="15" fillId="0" borderId="0"/>
    <xf numFmtId="166" fontId="15" fillId="0" borderId="0"/>
    <xf numFmtId="172" fontId="3" fillId="0" borderId="0"/>
    <xf numFmtId="166" fontId="15" fillId="0" borderId="0"/>
    <xf numFmtId="166" fontId="15" fillId="0" borderId="0"/>
    <xf numFmtId="172" fontId="3" fillId="0" borderId="0"/>
    <xf numFmtId="166" fontId="15" fillId="0" borderId="0"/>
    <xf numFmtId="166" fontId="15" fillId="0" borderId="0"/>
    <xf numFmtId="172" fontId="3" fillId="0" borderId="0"/>
    <xf numFmtId="166" fontId="15" fillId="0" borderId="0"/>
    <xf numFmtId="166" fontId="15" fillId="0" borderId="0"/>
    <xf numFmtId="0" fontId="42" fillId="55" borderId="22" applyNumberFormat="0" applyFont="0" applyAlignment="0" applyProtection="0"/>
    <xf numFmtId="0" fontId="42" fillId="55" borderId="22" applyNumberFormat="0" applyFont="0" applyAlignment="0" applyProtection="0"/>
    <xf numFmtId="0" fontId="42" fillId="55" borderId="22" applyNumberFormat="0" applyFont="0" applyAlignment="0" applyProtection="0"/>
    <xf numFmtId="0" fontId="42" fillId="55" borderId="22" applyNumberFormat="0" applyFont="0" applyAlignment="0" applyProtection="0"/>
    <xf numFmtId="0" fontId="42" fillId="55" borderId="22" applyNumberFormat="0" applyFont="0" applyAlignment="0" applyProtection="0"/>
    <xf numFmtId="172" fontId="42" fillId="55" borderId="22" applyNumberFormat="0" applyFont="0" applyAlignment="0" applyProtection="0"/>
    <xf numFmtId="166" fontId="42" fillId="9" borderId="12" applyNumberFormat="0" applyFont="0" applyAlignment="0" applyProtection="0"/>
    <xf numFmtId="166" fontId="42" fillId="9" borderId="12" applyNumberFormat="0" applyFont="0" applyAlignment="0" applyProtection="0"/>
    <xf numFmtId="172" fontId="42" fillId="55" borderId="22" applyNumberFormat="0" applyFont="0" applyAlignment="0" applyProtection="0"/>
    <xf numFmtId="166" fontId="42" fillId="9" borderId="12" applyNumberFormat="0" applyFont="0" applyAlignment="0" applyProtection="0"/>
    <xf numFmtId="166" fontId="42" fillId="9" borderId="12" applyNumberFormat="0" applyFont="0" applyAlignment="0" applyProtection="0"/>
    <xf numFmtId="172" fontId="42" fillId="55" borderId="22" applyNumberFormat="0" applyFont="0" applyAlignment="0" applyProtection="0"/>
    <xf numFmtId="166" fontId="42" fillId="9" borderId="12" applyNumberFormat="0" applyFont="0" applyAlignment="0" applyProtection="0"/>
    <xf numFmtId="166" fontId="42" fillId="9" borderId="12" applyNumberFormat="0" applyFont="0" applyAlignment="0" applyProtection="0"/>
    <xf numFmtId="172" fontId="42" fillId="55" borderId="22" applyNumberFormat="0" applyFont="0" applyAlignment="0" applyProtection="0"/>
    <xf numFmtId="166" fontId="42" fillId="9" borderId="12" applyNumberFormat="0" applyFont="0" applyAlignment="0" applyProtection="0"/>
    <xf numFmtId="166" fontId="42" fillId="9" borderId="12" applyNumberFormat="0" applyFont="0" applyAlignment="0" applyProtection="0"/>
    <xf numFmtId="172" fontId="42" fillId="55" borderId="22" applyNumberFormat="0" applyFont="0" applyAlignment="0" applyProtection="0"/>
    <xf numFmtId="166" fontId="42" fillId="9" borderId="12" applyNumberFormat="0" applyFont="0" applyAlignment="0" applyProtection="0"/>
    <xf numFmtId="166" fontId="42" fillId="9" borderId="12" applyNumberFormat="0" applyFont="0" applyAlignment="0" applyProtection="0"/>
    <xf numFmtId="172" fontId="42" fillId="55" borderId="22" applyNumberFormat="0" applyFont="0" applyAlignment="0" applyProtection="0"/>
    <xf numFmtId="166" fontId="42" fillId="9" borderId="12" applyNumberFormat="0" applyFont="0" applyAlignment="0" applyProtection="0"/>
    <xf numFmtId="166" fontId="42" fillId="9" borderId="12" applyNumberFormat="0" applyFont="0" applyAlignment="0" applyProtection="0"/>
    <xf numFmtId="172" fontId="42" fillId="55" borderId="22" applyNumberFormat="0" applyFont="0" applyAlignment="0" applyProtection="0"/>
    <xf numFmtId="166" fontId="42" fillId="9" borderId="12" applyNumberFormat="0" applyFont="0" applyAlignment="0" applyProtection="0"/>
    <xf numFmtId="166" fontId="42" fillId="9" borderId="12" applyNumberFormat="0" applyFont="0" applyAlignment="0" applyProtection="0"/>
    <xf numFmtId="0" fontId="42" fillId="55" borderId="22" applyNumberFormat="0" applyFont="0" applyAlignment="0" applyProtection="0"/>
    <xf numFmtId="0" fontId="43" fillId="52" borderId="23" applyNumberFormat="0" applyAlignment="0" applyProtection="0"/>
    <xf numFmtId="0" fontId="43" fillId="52" borderId="23" applyNumberFormat="0" applyAlignment="0" applyProtection="0"/>
    <xf numFmtId="0" fontId="43" fillId="52" borderId="23" applyNumberFormat="0" applyAlignment="0" applyProtection="0"/>
    <xf numFmtId="0" fontId="43" fillId="52" borderId="23" applyNumberFormat="0" applyAlignment="0" applyProtection="0"/>
    <xf numFmtId="0" fontId="43" fillId="52" borderId="23" applyNumberFormat="0" applyAlignment="0" applyProtection="0"/>
    <xf numFmtId="166" fontId="44" fillId="7" borderId="9" applyNumberFormat="0" applyAlignment="0" applyProtection="0"/>
    <xf numFmtId="166" fontId="44" fillId="7" borderId="9" applyNumberFormat="0" applyAlignment="0" applyProtection="0"/>
    <xf numFmtId="172" fontId="43" fillId="52" borderId="23" applyNumberFormat="0" applyAlignment="0" applyProtection="0"/>
    <xf numFmtId="172" fontId="43" fillId="52" borderId="23" applyNumberFormat="0" applyAlignment="0" applyProtection="0"/>
    <xf numFmtId="172" fontId="43" fillId="52" borderId="23" applyNumberFormat="0" applyAlignment="0" applyProtection="0"/>
    <xf numFmtId="172" fontId="43" fillId="52" borderId="23" applyNumberFormat="0" applyAlignment="0" applyProtection="0"/>
    <xf numFmtId="172" fontId="43" fillId="52" borderId="23" applyNumberFormat="0" applyAlignment="0" applyProtection="0"/>
    <xf numFmtId="172" fontId="43" fillId="52" borderId="23" applyNumberFormat="0" applyAlignment="0" applyProtection="0"/>
    <xf numFmtId="172" fontId="43" fillId="52" borderId="23" applyNumberFormat="0" applyAlignment="0" applyProtection="0"/>
    <xf numFmtId="0" fontId="43" fillId="52" borderId="23" applyNumberFormat="0" applyAlignment="0" applyProtection="0"/>
    <xf numFmtId="4" fontId="11" fillId="2" borderId="0">
      <alignment horizontal="right"/>
    </xf>
    <xf numFmtId="172" fontId="45" fillId="2" borderId="0">
      <alignment horizontal="center" vertical="center"/>
    </xf>
    <xf numFmtId="0" fontId="45" fillId="2" borderId="0">
      <alignment horizontal="center" vertical="center"/>
    </xf>
    <xf numFmtId="0" fontId="45" fillId="2" borderId="0">
      <alignment horizontal="center" vertical="center"/>
    </xf>
    <xf numFmtId="0" fontId="45" fillId="2" borderId="0">
      <alignment horizontal="center" vertical="center"/>
    </xf>
    <xf numFmtId="0" fontId="45" fillId="2" borderId="0">
      <alignment horizontal="center" vertical="center"/>
    </xf>
    <xf numFmtId="0" fontId="45" fillId="2" borderId="0">
      <alignment horizontal="center" vertical="center"/>
    </xf>
    <xf numFmtId="0" fontId="45" fillId="2" borderId="0">
      <alignment horizontal="center" vertical="center"/>
    </xf>
    <xf numFmtId="166" fontId="45" fillId="2" borderId="0">
      <alignment horizontal="center" vertical="center"/>
    </xf>
    <xf numFmtId="166" fontId="45" fillId="2" borderId="0">
      <alignment horizontal="center" vertical="center"/>
    </xf>
    <xf numFmtId="0" fontId="45" fillId="2" borderId="0">
      <alignment horizontal="center" vertical="center"/>
    </xf>
    <xf numFmtId="172" fontId="8" fillId="2" borderId="4"/>
    <xf numFmtId="0" fontId="8" fillId="2" borderId="4"/>
    <xf numFmtId="0" fontId="8" fillId="2" borderId="4"/>
    <xf numFmtId="0" fontId="8" fillId="2" borderId="4"/>
    <xf numFmtId="0" fontId="8" fillId="2" borderId="4"/>
    <xf numFmtId="0" fontId="8" fillId="2" borderId="4"/>
    <xf numFmtId="0" fontId="8" fillId="2" borderId="4"/>
    <xf numFmtId="166" fontId="8" fillId="2" borderId="4"/>
    <xf numFmtId="166" fontId="8" fillId="2" borderId="4"/>
    <xf numFmtId="0" fontId="8" fillId="2" borderId="4"/>
    <xf numFmtId="172" fontId="45" fillId="2" borderId="0" applyBorder="0">
      <alignment horizontal="centerContinuous"/>
    </xf>
    <xf numFmtId="0" fontId="45" fillId="2" borderId="0" applyBorder="0">
      <alignment horizontal="centerContinuous"/>
    </xf>
    <xf numFmtId="0" fontId="45" fillId="2" borderId="0" applyBorder="0">
      <alignment horizontal="centerContinuous"/>
    </xf>
    <xf numFmtId="0" fontId="45" fillId="2" borderId="0" applyBorder="0">
      <alignment horizontal="centerContinuous"/>
    </xf>
    <xf numFmtId="0" fontId="45" fillId="2" borderId="0" applyBorder="0">
      <alignment horizontal="centerContinuous"/>
    </xf>
    <xf numFmtId="0" fontId="45" fillId="2" borderId="0" applyBorder="0">
      <alignment horizontal="centerContinuous"/>
    </xf>
    <xf numFmtId="0" fontId="45" fillId="2" borderId="0" applyBorder="0">
      <alignment horizontal="centerContinuous"/>
    </xf>
    <xf numFmtId="166" fontId="45" fillId="2" borderId="0" applyBorder="0">
      <alignment horizontal="centerContinuous"/>
    </xf>
    <xf numFmtId="166" fontId="45" fillId="2" borderId="0" applyBorder="0">
      <alignment horizontal="centerContinuous"/>
    </xf>
    <xf numFmtId="0" fontId="45" fillId="2" borderId="0" applyBorder="0">
      <alignment horizontal="centerContinuous"/>
    </xf>
    <xf numFmtId="172" fontId="46" fillId="2" borderId="0" applyBorder="0">
      <alignment horizontal="centerContinuous"/>
    </xf>
    <xf numFmtId="0" fontId="46" fillId="2" borderId="0" applyBorder="0">
      <alignment horizontal="centerContinuous"/>
    </xf>
    <xf numFmtId="0" fontId="46" fillId="2" borderId="0" applyBorder="0">
      <alignment horizontal="centerContinuous"/>
    </xf>
    <xf numFmtId="0" fontId="46" fillId="2" borderId="0" applyBorder="0">
      <alignment horizontal="centerContinuous"/>
    </xf>
    <xf numFmtId="0" fontId="46" fillId="2" borderId="0" applyBorder="0">
      <alignment horizontal="centerContinuous"/>
    </xf>
    <xf numFmtId="0" fontId="46" fillId="2" borderId="0" applyBorder="0">
      <alignment horizontal="centerContinuous"/>
    </xf>
    <xf numFmtId="0" fontId="46" fillId="2" borderId="0" applyBorder="0">
      <alignment horizontal="centerContinuous"/>
    </xf>
    <xf numFmtId="166" fontId="46" fillId="2" borderId="0" applyBorder="0">
      <alignment horizontal="centerContinuous"/>
    </xf>
    <xf numFmtId="166" fontId="46" fillId="2" borderId="0" applyBorder="0">
      <alignment horizontal="centerContinuous"/>
    </xf>
    <xf numFmtId="0" fontId="46" fillId="2" borderId="0" applyBorder="0">
      <alignment horizontal="centerContinuous"/>
    </xf>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6" fontId="12" fillId="0" borderId="0" applyNumberFormat="0" applyFill="0" applyBorder="0" applyAlignment="0" applyProtection="0"/>
    <xf numFmtId="166" fontId="12"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0" fontId="47" fillId="0" borderId="0" applyNumberFormat="0" applyFill="0" applyBorder="0" applyAlignment="0" applyProtection="0"/>
    <xf numFmtId="0" fontId="48" fillId="0" borderId="24" applyNumberFormat="0" applyFill="0" applyAlignment="0" applyProtection="0"/>
    <xf numFmtId="0" fontId="48" fillId="0" borderId="24" applyNumberFormat="0" applyFill="0" applyAlignment="0" applyProtection="0"/>
    <xf numFmtId="0" fontId="48" fillId="0" borderId="24" applyNumberFormat="0" applyFill="0" applyAlignment="0" applyProtection="0"/>
    <xf numFmtId="0" fontId="48" fillId="0" borderId="24" applyNumberFormat="0" applyFill="0" applyAlignment="0" applyProtection="0"/>
    <xf numFmtId="0" fontId="48" fillId="0" borderId="24" applyNumberFormat="0" applyFill="0" applyAlignment="0" applyProtection="0"/>
    <xf numFmtId="166" fontId="49" fillId="0" borderId="13" applyNumberFormat="0" applyFill="0" applyAlignment="0" applyProtection="0"/>
    <xf numFmtId="166" fontId="49" fillId="0" borderId="13" applyNumberFormat="0" applyFill="0" applyAlignment="0" applyProtection="0"/>
    <xf numFmtId="172" fontId="48" fillId="0" borderId="24" applyNumberFormat="0" applyFill="0" applyAlignment="0" applyProtection="0"/>
    <xf numFmtId="172" fontId="48" fillId="0" borderId="24" applyNumberFormat="0" applyFill="0" applyAlignment="0" applyProtection="0"/>
    <xf numFmtId="172" fontId="48" fillId="0" borderId="24" applyNumberFormat="0" applyFill="0" applyAlignment="0" applyProtection="0"/>
    <xf numFmtId="172" fontId="48" fillId="0" borderId="24" applyNumberFormat="0" applyFill="0" applyAlignment="0" applyProtection="0"/>
    <xf numFmtId="172" fontId="48" fillId="0" borderId="24" applyNumberFormat="0" applyFill="0" applyAlignment="0" applyProtection="0"/>
    <xf numFmtId="172" fontId="48" fillId="0" borderId="24" applyNumberFormat="0" applyFill="0" applyAlignment="0" applyProtection="0"/>
    <xf numFmtId="172" fontId="48" fillId="0" borderId="24" applyNumberFormat="0" applyFill="0" applyAlignment="0" applyProtection="0"/>
    <xf numFmtId="0" fontId="48" fillId="0" borderId="24"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6" fontId="51" fillId="0" borderId="0" applyNumberFormat="0" applyFill="0" applyBorder="0" applyAlignment="0" applyProtection="0"/>
    <xf numFmtId="166" fontId="51"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0" fontId="50" fillId="0" borderId="0" applyNumberFormat="0" applyFill="0" applyBorder="0" applyAlignment="0" applyProtection="0"/>
    <xf numFmtId="43" fontId="14" fillId="0" borderId="0" applyFont="0" applyFill="0" applyBorder="0" applyAlignment="0" applyProtection="0"/>
    <xf numFmtId="0" fontId="3" fillId="0" borderId="0"/>
    <xf numFmtId="0" fontId="3" fillId="0" borderId="0"/>
    <xf numFmtId="44" fontId="14" fillId="0" borderId="0" applyFont="0" applyFill="0" applyBorder="0" applyAlignment="0" applyProtection="0"/>
    <xf numFmtId="172" fontId="3" fillId="0" borderId="0"/>
    <xf numFmtId="41" fontId="13" fillId="0" borderId="0"/>
  </cellStyleXfs>
  <cellXfs count="241">
    <xf numFmtId="0" fontId="0" fillId="0" borderId="0" xfId="0"/>
    <xf numFmtId="0" fontId="0" fillId="0" borderId="0" xfId="0" applyFont="1"/>
    <xf numFmtId="0" fontId="0" fillId="0" borderId="0" xfId="0" applyFont="1" applyAlignment="1">
      <alignment horizontal="center"/>
    </xf>
    <xf numFmtId="164" fontId="0" fillId="0" borderId="0" xfId="3" applyNumberFormat="1" applyFont="1"/>
    <xf numFmtId="0" fontId="0" fillId="0" borderId="0" xfId="0" applyFont="1" applyFill="1"/>
    <xf numFmtId="0" fontId="53" fillId="0" borderId="0" xfId="0" applyFont="1"/>
    <xf numFmtId="0" fontId="53" fillId="0" borderId="0" xfId="0" applyFont="1" applyFill="1"/>
    <xf numFmtId="37" fontId="0" fillId="0" borderId="0" xfId="0" applyNumberFormat="1" applyFont="1"/>
    <xf numFmtId="164" fontId="0" fillId="0" borderId="0" xfId="0" applyNumberFormat="1" applyFont="1"/>
    <xf numFmtId="43" fontId="0" fillId="0" borderId="0" xfId="0" applyNumberFormat="1" applyFont="1"/>
    <xf numFmtId="0" fontId="52" fillId="0" borderId="0" xfId="0" applyFont="1" applyAlignment="1">
      <alignment horizontal="left"/>
    </xf>
    <xf numFmtId="0" fontId="52" fillId="0" borderId="0" xfId="0" applyFont="1"/>
    <xf numFmtId="0" fontId="59" fillId="0" borderId="0" xfId="0" applyFont="1"/>
    <xf numFmtId="0" fontId="58" fillId="0" borderId="0" xfId="0" applyFont="1"/>
    <xf numFmtId="43" fontId="60" fillId="0" borderId="0" xfId="9" applyFont="1" applyFill="1" applyBorder="1" applyAlignment="1">
      <alignment horizontal="left"/>
    </xf>
    <xf numFmtId="0" fontId="53" fillId="0" borderId="0" xfId="0" applyFont="1" applyFill="1" applyBorder="1"/>
    <xf numFmtId="0" fontId="53" fillId="0" borderId="0" xfId="0" applyFont="1" applyFill="1" applyBorder="1" applyAlignment="1">
      <alignment horizontal="center"/>
    </xf>
    <xf numFmtId="0" fontId="61" fillId="0" borderId="0" xfId="0" applyFont="1" applyFill="1"/>
    <xf numFmtId="41" fontId="60" fillId="0" borderId="0" xfId="848" applyFont="1" applyFill="1" applyBorder="1" applyAlignment="1">
      <alignment horizontal="left"/>
    </xf>
    <xf numFmtId="41" fontId="60" fillId="0" borderId="0" xfId="848" applyFont="1" applyFill="1" applyBorder="1" applyAlignment="1">
      <alignment horizontal="right"/>
    </xf>
    <xf numFmtId="41" fontId="61" fillId="0" borderId="0" xfId="848" applyFont="1" applyFill="1" applyBorder="1" applyAlignment="1">
      <alignment horizontal="left"/>
    </xf>
    <xf numFmtId="172" fontId="61" fillId="0" borderId="0" xfId="847" applyFont="1" applyFill="1" applyBorder="1"/>
    <xf numFmtId="172" fontId="61" fillId="0" borderId="0" xfId="847" applyFont="1" applyFill="1" applyBorder="1" applyAlignment="1">
      <alignment horizontal="right"/>
    </xf>
    <xf numFmtId="174" fontId="61" fillId="0" borderId="0" xfId="847" applyNumberFormat="1" applyFont="1" applyFill="1" applyBorder="1" applyAlignment="1" applyProtection="1">
      <alignment horizontal="center"/>
    </xf>
    <xf numFmtId="0" fontId="61" fillId="0" borderId="0" xfId="0" applyFont="1" applyFill="1" applyAlignment="1">
      <alignment horizontal="center"/>
    </xf>
    <xf numFmtId="0" fontId="60" fillId="0" borderId="0" xfId="0" applyFont="1" applyFill="1" applyAlignment="1">
      <alignment horizontal="center"/>
    </xf>
    <xf numFmtId="0" fontId="60" fillId="0" borderId="0" xfId="0" applyFont="1" applyFill="1" applyAlignment="1">
      <alignment horizontal="right"/>
    </xf>
    <xf numFmtId="172" fontId="60" fillId="0" borderId="0" xfId="847" applyFont="1" applyFill="1" applyBorder="1" applyAlignment="1">
      <alignment horizontal="center"/>
    </xf>
    <xf numFmtId="0" fontId="60" fillId="0" borderId="0" xfId="844" applyFont="1" applyFill="1" applyBorder="1" applyAlignment="1">
      <alignment horizontal="center"/>
    </xf>
    <xf numFmtId="0" fontId="60" fillId="0" borderId="0" xfId="0" quotePrefix="1" applyFont="1" applyFill="1" applyAlignment="1">
      <alignment horizontal="center"/>
    </xf>
    <xf numFmtId="0" fontId="60" fillId="0" borderId="0" xfId="0" quotePrefix="1" applyFont="1" applyFill="1" applyAlignment="1">
      <alignment horizontal="right"/>
    </xf>
    <xf numFmtId="0" fontId="60" fillId="0" borderId="14" xfId="0" applyFont="1" applyFill="1" applyBorder="1"/>
    <xf numFmtId="0" fontId="60" fillId="0" borderId="14" xfId="0" applyFont="1" applyFill="1" applyBorder="1" applyAlignment="1">
      <alignment horizontal="center" wrapText="1"/>
    </xf>
    <xf numFmtId="0" fontId="60" fillId="0" borderId="14" xfId="844" applyFont="1" applyFill="1" applyBorder="1" applyAlignment="1">
      <alignment horizontal="center"/>
    </xf>
    <xf numFmtId="0" fontId="60" fillId="0" borderId="14" xfId="0" applyFont="1" applyFill="1" applyBorder="1" applyAlignment="1">
      <alignment horizontal="right"/>
    </xf>
    <xf numFmtId="0" fontId="60" fillId="0" borderId="14" xfId="0" applyFont="1" applyFill="1" applyBorder="1" applyAlignment="1">
      <alignment horizontal="center"/>
    </xf>
    <xf numFmtId="0" fontId="60" fillId="0" borderId="0" xfId="0" applyFont="1" applyFill="1" applyBorder="1"/>
    <xf numFmtId="0" fontId="60" fillId="0" borderId="0" xfId="0" applyFont="1" applyFill="1" applyBorder="1" applyAlignment="1">
      <alignment horizontal="center"/>
    </xf>
    <xf numFmtId="0" fontId="60" fillId="0" borderId="0" xfId="0" applyFont="1" applyFill="1" applyBorder="1" applyAlignment="1">
      <alignment horizontal="right"/>
    </xf>
    <xf numFmtId="0" fontId="62" fillId="0" borderId="0" xfId="0" applyFont="1" applyFill="1"/>
    <xf numFmtId="0" fontId="60" fillId="0" borderId="0" xfId="0" applyFont="1" applyFill="1"/>
    <xf numFmtId="0" fontId="61" fillId="0" borderId="0" xfId="0" applyFont="1" applyFill="1" applyAlignment="1">
      <alignment horizontal="right"/>
    </xf>
    <xf numFmtId="0" fontId="61" fillId="0" borderId="0" xfId="844" applyFont="1" applyFill="1"/>
    <xf numFmtId="164" fontId="61" fillId="0" borderId="0" xfId="1" applyNumberFormat="1" applyFont="1" applyFill="1"/>
    <xf numFmtId="165" fontId="61" fillId="0" borderId="0" xfId="0" applyNumberFormat="1" applyFont="1" applyFill="1"/>
    <xf numFmtId="44" fontId="61" fillId="0" borderId="0" xfId="4" applyFont="1" applyFill="1"/>
    <xf numFmtId="0" fontId="61" fillId="0" borderId="1" xfId="0" quotePrefix="1" applyFont="1" applyFill="1" applyBorder="1" applyAlignment="1">
      <alignment horizontal="left"/>
    </xf>
    <xf numFmtId="177" fontId="61" fillId="0" borderId="0" xfId="4" applyNumberFormat="1" applyFont="1" applyFill="1"/>
    <xf numFmtId="165" fontId="61" fillId="0" borderId="1" xfId="0" applyNumberFormat="1" applyFont="1" applyFill="1" applyBorder="1"/>
    <xf numFmtId="37" fontId="61" fillId="0" borderId="0" xfId="3" applyNumberFormat="1" applyFont="1" applyFill="1" applyAlignment="1">
      <alignment horizontal="center"/>
    </xf>
    <xf numFmtId="0" fontId="61" fillId="0" borderId="0" xfId="0" quotePrefix="1" applyFont="1" applyFill="1" applyAlignment="1">
      <alignment horizontal="left"/>
    </xf>
    <xf numFmtId="187" fontId="61" fillId="0" borderId="0" xfId="4" applyNumberFormat="1" applyFont="1" applyFill="1"/>
    <xf numFmtId="165" fontId="60" fillId="0" borderId="0" xfId="0" applyNumberFormat="1" applyFont="1" applyFill="1"/>
    <xf numFmtId="37" fontId="61" fillId="0" borderId="0" xfId="0" applyNumberFormat="1" applyFont="1" applyFill="1" applyAlignment="1">
      <alignment horizontal="center"/>
    </xf>
    <xf numFmtId="0" fontId="53" fillId="0" borderId="0" xfId="0" applyFont="1" applyFill="1" applyAlignment="1">
      <alignment horizontal="center"/>
    </xf>
    <xf numFmtId="165" fontId="60" fillId="0" borderId="15" xfId="844" applyNumberFormat="1" applyFont="1" applyFill="1" applyBorder="1"/>
    <xf numFmtId="165" fontId="60" fillId="0" borderId="0" xfId="844" applyNumberFormat="1" applyFont="1" applyFill="1" applyBorder="1"/>
    <xf numFmtId="164" fontId="53" fillId="0" borderId="0" xfId="3" applyNumberFormat="1" applyFont="1"/>
    <xf numFmtId="165" fontId="53" fillId="0" borderId="0" xfId="0" applyNumberFormat="1" applyFont="1"/>
    <xf numFmtId="0" fontId="61" fillId="0" borderId="0" xfId="0" applyFont="1" applyFill="1" applyAlignment="1">
      <alignment horizontal="left"/>
    </xf>
    <xf numFmtId="164" fontId="53" fillId="0" borderId="0" xfId="0" applyNumberFormat="1" applyFont="1"/>
    <xf numFmtId="10" fontId="61" fillId="0" borderId="0" xfId="10" applyNumberFormat="1" applyFont="1" applyFill="1" applyBorder="1"/>
    <xf numFmtId="0" fontId="63" fillId="0" borderId="0" xfId="844" applyFont="1" applyFill="1"/>
    <xf numFmtId="10" fontId="64" fillId="0" borderId="0" xfId="8" applyNumberFormat="1" applyFont="1" applyFill="1"/>
    <xf numFmtId="43" fontId="53" fillId="0" borderId="0" xfId="0" applyNumberFormat="1" applyFont="1"/>
    <xf numFmtId="0" fontId="65" fillId="0" borderId="0" xfId="0" applyFont="1"/>
    <xf numFmtId="0" fontId="63" fillId="0" borderId="0" xfId="0" applyFont="1" applyFill="1"/>
    <xf numFmtId="168" fontId="61" fillId="0" borderId="0" xfId="4" applyNumberFormat="1" applyFont="1" applyFill="1"/>
    <xf numFmtId="44" fontId="61" fillId="0" borderId="0" xfId="0" applyNumberFormat="1" applyFont="1" applyFill="1"/>
    <xf numFmtId="164" fontId="65" fillId="0" borderId="0" xfId="3" applyNumberFormat="1" applyFont="1"/>
    <xf numFmtId="10" fontId="64" fillId="0" borderId="0" xfId="0" applyNumberFormat="1" applyFont="1" applyFill="1"/>
    <xf numFmtId="0" fontId="61" fillId="0" borderId="0" xfId="0" applyFont="1" applyFill="1" applyAlignment="1">
      <alignment horizontal="center" wrapText="1"/>
    </xf>
    <xf numFmtId="42" fontId="61" fillId="0" borderId="0" xfId="0" applyNumberFormat="1" applyFont="1" applyFill="1"/>
    <xf numFmtId="0" fontId="61" fillId="0" borderId="1" xfId="0" applyFont="1" applyFill="1" applyBorder="1"/>
    <xf numFmtId="42" fontId="61" fillId="0" borderId="1" xfId="0" applyNumberFormat="1" applyFont="1" applyFill="1" applyBorder="1"/>
    <xf numFmtId="187" fontId="53" fillId="0" borderId="0" xfId="0" applyNumberFormat="1" applyFont="1"/>
    <xf numFmtId="42" fontId="53" fillId="0" borderId="0" xfId="0" applyNumberFormat="1" applyFont="1"/>
    <xf numFmtId="44" fontId="53" fillId="0" borderId="0" xfId="4" applyFont="1"/>
    <xf numFmtId="181" fontId="61" fillId="0" borderId="0" xfId="0" applyNumberFormat="1" applyFont="1" applyFill="1"/>
    <xf numFmtId="44" fontId="53" fillId="0" borderId="0" xfId="0" applyNumberFormat="1" applyFont="1"/>
    <xf numFmtId="44" fontId="61" fillId="0" borderId="0" xfId="4" applyNumberFormat="1" applyFont="1" applyFill="1"/>
    <xf numFmtId="181" fontId="61" fillId="0" borderId="1" xfId="0" applyNumberFormat="1" applyFont="1" applyFill="1" applyBorder="1"/>
    <xf numFmtId="164" fontId="61" fillId="0" borderId="0" xfId="0" applyNumberFormat="1" applyFont="1" applyFill="1"/>
    <xf numFmtId="43" fontId="61" fillId="0" borderId="0" xfId="0" applyNumberFormat="1" applyFont="1" applyFill="1" applyBorder="1"/>
    <xf numFmtId="42" fontId="61" fillId="0" borderId="0" xfId="0" applyNumberFormat="1" applyFont="1" applyFill="1" applyBorder="1"/>
    <xf numFmtId="165" fontId="53" fillId="0" borderId="0" xfId="4" applyNumberFormat="1" applyFont="1"/>
    <xf numFmtId="165" fontId="65" fillId="0" borderId="0" xfId="0" applyNumberFormat="1" applyFont="1" applyFill="1"/>
    <xf numFmtId="165" fontId="60" fillId="0" borderId="0" xfId="0" applyNumberFormat="1" applyFont="1" applyFill="1" applyBorder="1"/>
    <xf numFmtId="165" fontId="61" fillId="0" borderId="0" xfId="0" applyNumberFormat="1" applyFont="1" applyFill="1" applyBorder="1"/>
    <xf numFmtId="0" fontId="53" fillId="0" borderId="0" xfId="0" quotePrefix="1" applyFont="1" applyFill="1" applyAlignment="1">
      <alignment horizontal="left"/>
    </xf>
    <xf numFmtId="0" fontId="61" fillId="0" borderId="0" xfId="0" applyFont="1" applyFill="1" applyBorder="1"/>
    <xf numFmtId="164" fontId="61" fillId="0" borderId="0" xfId="3" applyNumberFormat="1" applyFont="1" applyFill="1" applyAlignment="1">
      <alignment horizontal="center"/>
    </xf>
    <xf numFmtId="168" fontId="61" fillId="0" borderId="0" xfId="0" applyNumberFormat="1" applyFont="1" applyFill="1"/>
    <xf numFmtId="164" fontId="60" fillId="0" borderId="0" xfId="0" applyNumberFormat="1" applyFont="1" applyFill="1"/>
    <xf numFmtId="43" fontId="61" fillId="0" borderId="0" xfId="0" applyNumberFormat="1" applyFont="1" applyFill="1"/>
    <xf numFmtId="164" fontId="61" fillId="0" borderId="0" xfId="0" applyNumberFormat="1" applyFont="1" applyFill="1" applyBorder="1"/>
    <xf numFmtId="0" fontId="53" fillId="0" borderId="0" xfId="0" applyFont="1" applyFill="1" applyAlignment="1">
      <alignment horizontal="left"/>
    </xf>
    <xf numFmtId="165" fontId="61" fillId="0" borderId="0" xfId="844" applyNumberFormat="1" applyFont="1" applyFill="1" applyBorder="1"/>
    <xf numFmtId="0" fontId="62" fillId="0" borderId="0" xfId="0" quotePrefix="1" applyFont="1" applyFill="1" applyAlignment="1">
      <alignment horizontal="left"/>
    </xf>
    <xf numFmtId="0" fontId="60" fillId="0" borderId="0" xfId="844" applyFont="1" applyFill="1"/>
    <xf numFmtId="0" fontId="61" fillId="0" borderId="0" xfId="0" applyFont="1" applyFill="1" applyBorder="1" applyAlignment="1">
      <alignment horizontal="center"/>
    </xf>
    <xf numFmtId="173" fontId="61" fillId="0" borderId="0" xfId="0" applyNumberFormat="1" applyFont="1" applyFill="1"/>
    <xf numFmtId="173" fontId="61" fillId="0" borderId="0" xfId="0" applyNumberFormat="1" applyFont="1" applyFill="1" applyAlignment="1">
      <alignment horizontal="center"/>
    </xf>
    <xf numFmtId="187" fontId="61" fillId="0" borderId="0" xfId="0" applyNumberFormat="1" applyFont="1" applyFill="1"/>
    <xf numFmtId="42" fontId="60" fillId="0" borderId="0" xfId="0" applyNumberFormat="1" applyFont="1" applyFill="1"/>
    <xf numFmtId="0" fontId="60" fillId="0" borderId="0" xfId="0" applyFont="1" applyFill="1" applyAlignment="1"/>
    <xf numFmtId="165" fontId="53" fillId="0" borderId="0" xfId="0" applyNumberFormat="1" applyFont="1" applyFill="1"/>
    <xf numFmtId="0" fontId="61" fillId="0" borderId="1" xfId="844" applyFont="1" applyFill="1" applyBorder="1"/>
    <xf numFmtId="164" fontId="61" fillId="0" borderId="0" xfId="0" applyNumberFormat="1" applyFont="1" applyFill="1" applyAlignment="1">
      <alignment horizontal="center"/>
    </xf>
    <xf numFmtId="42" fontId="60" fillId="0" borderId="0" xfId="0" applyNumberFormat="1" applyFont="1" applyFill="1" applyBorder="1"/>
    <xf numFmtId="177" fontId="61" fillId="0" borderId="0" xfId="0" applyNumberFormat="1" applyFont="1" applyFill="1"/>
    <xf numFmtId="0" fontId="60" fillId="0" borderId="0" xfId="0" quotePrefix="1" applyFont="1" applyFill="1" applyAlignment="1">
      <alignment horizontal="left"/>
    </xf>
    <xf numFmtId="42" fontId="60" fillId="0" borderId="15" xfId="0" applyNumberFormat="1" applyFont="1" applyFill="1" applyBorder="1"/>
    <xf numFmtId="1" fontId="53" fillId="0" borderId="0" xfId="0" applyNumberFormat="1" applyFont="1"/>
    <xf numFmtId="10" fontId="61" fillId="0" borderId="0" xfId="10" applyNumberFormat="1" applyFont="1" applyFill="1"/>
    <xf numFmtId="0" fontId="60" fillId="0" borderId="0" xfId="0" quotePrefix="1" applyFont="1" applyFill="1" applyProtection="1"/>
    <xf numFmtId="2" fontId="61" fillId="0" borderId="0" xfId="4" applyNumberFormat="1" applyFont="1" applyFill="1"/>
    <xf numFmtId="2" fontId="61" fillId="0" borderId="0" xfId="0" applyNumberFormat="1" applyFont="1" applyFill="1"/>
    <xf numFmtId="189" fontId="61" fillId="0" borderId="0" xfId="4" applyNumberFormat="1" applyFont="1" applyFill="1"/>
    <xf numFmtId="0" fontId="61" fillId="0" borderId="0" xfId="844" applyFont="1" applyFill="1" applyAlignment="1">
      <alignment horizontal="left" indent="1"/>
    </xf>
    <xf numFmtId="10" fontId="53" fillId="0" borderId="0" xfId="10" applyNumberFormat="1" applyFont="1"/>
    <xf numFmtId="0" fontId="61" fillId="0" borderId="0" xfId="0" quotePrefix="1" applyFont="1" applyFill="1"/>
    <xf numFmtId="41" fontId="61" fillId="0" borderId="0" xfId="848" applyFont="1" applyBorder="1"/>
    <xf numFmtId="41" fontId="60" fillId="0" borderId="0" xfId="848" quotePrefix="1" applyFont="1" applyBorder="1" applyAlignment="1">
      <alignment horizontal="right"/>
    </xf>
    <xf numFmtId="0" fontId="53" fillId="0" borderId="0" xfId="0" applyFont="1" applyBorder="1"/>
    <xf numFmtId="41" fontId="61" fillId="0" borderId="0" xfId="848" applyFont="1"/>
    <xf numFmtId="41" fontId="60" fillId="0" borderId="0" xfId="848" applyFont="1" applyBorder="1" applyAlignment="1">
      <alignment horizontal="right"/>
    </xf>
    <xf numFmtId="0" fontId="57" fillId="0" borderId="0" xfId="0" applyFont="1" applyBorder="1" applyAlignment="1">
      <alignment horizontal="right"/>
    </xf>
    <xf numFmtId="0" fontId="57" fillId="0" borderId="0" xfId="0" applyFont="1" applyBorder="1" applyAlignment="1">
      <alignment horizontal="center"/>
    </xf>
    <xf numFmtId="0" fontId="57" fillId="0" borderId="14" xfId="0" applyFont="1" applyBorder="1" applyAlignment="1">
      <alignment horizontal="left"/>
    </xf>
    <xf numFmtId="0" fontId="57" fillId="0" borderId="14" xfId="0" applyFont="1" applyBorder="1" applyAlignment="1">
      <alignment horizontal="center"/>
    </xf>
    <xf numFmtId="0" fontId="53" fillId="0" borderId="0" xfId="0" applyFont="1" applyAlignment="1">
      <alignment horizontal="center"/>
    </xf>
    <xf numFmtId="165" fontId="53" fillId="0" borderId="0" xfId="846" applyNumberFormat="1" applyFont="1" applyAlignment="1">
      <alignment horizontal="center"/>
    </xf>
    <xf numFmtId="165" fontId="53" fillId="0" borderId="0" xfId="4" applyNumberFormat="1" applyFont="1" applyAlignment="1">
      <alignment horizontal="center"/>
    </xf>
    <xf numFmtId="10" fontId="53" fillId="0" borderId="0" xfId="0" applyNumberFormat="1" applyFont="1" applyAlignment="1">
      <alignment horizontal="center"/>
    </xf>
    <xf numFmtId="10" fontId="53" fillId="0" borderId="0" xfId="10" applyNumberFormat="1" applyFont="1" applyAlignment="1">
      <alignment horizontal="center"/>
    </xf>
    <xf numFmtId="165" fontId="53" fillId="0" borderId="0" xfId="4" applyNumberFormat="1" applyFont="1" applyFill="1" applyAlignment="1">
      <alignment horizontal="center"/>
    </xf>
    <xf numFmtId="10" fontId="53" fillId="0" borderId="0" xfId="10" applyNumberFormat="1" applyFont="1" applyFill="1" applyAlignment="1">
      <alignment horizontal="center"/>
    </xf>
    <xf numFmtId="165" fontId="53" fillId="0" borderId="3" xfId="846" applyNumberFormat="1" applyFont="1" applyFill="1" applyBorder="1" applyAlignment="1">
      <alignment horizontal="center"/>
    </xf>
    <xf numFmtId="10" fontId="53" fillId="0" borderId="3" xfId="10" applyNumberFormat="1" applyFont="1" applyFill="1" applyBorder="1" applyAlignment="1">
      <alignment horizontal="center"/>
    </xf>
    <xf numFmtId="164" fontId="53" fillId="0" borderId="0" xfId="843" applyNumberFormat="1" applyFont="1" applyFill="1" applyAlignment="1">
      <alignment horizontal="center"/>
    </xf>
    <xf numFmtId="165" fontId="53" fillId="0" borderId="0" xfId="843" applyNumberFormat="1" applyFont="1" applyFill="1" applyAlignment="1">
      <alignment horizontal="center"/>
    </xf>
    <xf numFmtId="9" fontId="53" fillId="0" borderId="0" xfId="0" applyNumberFormat="1" applyFont="1"/>
    <xf numFmtId="43" fontId="60" fillId="0" borderId="0" xfId="9" quotePrefix="1" applyFont="1" applyAlignment="1">
      <alignment horizontal="left"/>
    </xf>
    <xf numFmtId="0" fontId="57" fillId="0" borderId="0" xfId="0" quotePrefix="1" applyFont="1" applyAlignment="1">
      <alignment horizontal="right"/>
    </xf>
    <xf numFmtId="41" fontId="60" fillId="0" borderId="0" xfId="848" applyFont="1" applyFill="1" applyAlignment="1">
      <alignment horizontal="left"/>
    </xf>
    <xf numFmtId="0" fontId="57" fillId="0" borderId="0" xfId="0" applyFont="1" applyAlignment="1">
      <alignment horizontal="right"/>
    </xf>
    <xf numFmtId="0" fontId="53" fillId="0" borderId="14" xfId="0" applyFont="1" applyBorder="1"/>
    <xf numFmtId="0" fontId="53" fillId="0" borderId="14" xfId="0" applyFont="1" applyBorder="1" applyAlignment="1">
      <alignment horizontal="center" wrapText="1"/>
    </xf>
    <xf numFmtId="0" fontId="53" fillId="0" borderId="14" xfId="0" quotePrefix="1" applyFont="1" applyBorder="1" applyAlignment="1">
      <alignment horizontal="center" wrapText="1"/>
    </xf>
    <xf numFmtId="0" fontId="53" fillId="0" borderId="0" xfId="0" applyFont="1" applyBorder="1" applyAlignment="1">
      <alignment horizontal="center" wrapText="1"/>
    </xf>
    <xf numFmtId="0" fontId="53" fillId="0" borderId="0" xfId="0" applyFont="1" applyAlignment="1">
      <alignment horizontal="center" wrapText="1"/>
    </xf>
    <xf numFmtId="180" fontId="53" fillId="0" borderId="0" xfId="0" applyNumberFormat="1" applyFont="1" applyAlignment="1">
      <alignment horizontal="center" wrapText="1"/>
    </xf>
    <xf numFmtId="180" fontId="53" fillId="0" borderId="0" xfId="0" applyNumberFormat="1" applyFont="1" applyFill="1" applyAlignment="1">
      <alignment horizontal="center" wrapText="1"/>
    </xf>
    <xf numFmtId="41" fontId="61" fillId="0" borderId="0" xfId="848" quotePrefix="1" applyFont="1" applyAlignment="1">
      <alignment horizontal="left"/>
    </xf>
    <xf numFmtId="37" fontId="53" fillId="0" borderId="0" xfId="0" applyNumberFormat="1" applyFont="1" applyAlignment="1">
      <alignment horizontal="center"/>
    </xf>
    <xf numFmtId="175" fontId="53" fillId="0" borderId="0" xfId="0" applyNumberFormat="1" applyFont="1" applyAlignment="1">
      <alignment horizontal="center"/>
    </xf>
    <xf numFmtId="44" fontId="53" fillId="0" borderId="0" xfId="4" applyNumberFormat="1" applyFont="1" applyAlignment="1">
      <alignment horizontal="center"/>
    </xf>
    <xf numFmtId="44" fontId="53" fillId="0" borderId="0" xfId="4" applyNumberFormat="1" applyFont="1" applyFill="1" applyAlignment="1">
      <alignment horizontal="center"/>
    </xf>
    <xf numFmtId="44" fontId="53" fillId="0" borderId="0" xfId="0" applyNumberFormat="1" applyFont="1" applyAlignment="1">
      <alignment horizontal="center"/>
    </xf>
    <xf numFmtId="37" fontId="53" fillId="0" borderId="0" xfId="0" applyNumberFormat="1" applyFont="1" applyFill="1" applyAlignment="1">
      <alignment horizontal="center"/>
    </xf>
    <xf numFmtId="175" fontId="53" fillId="0" borderId="0" xfId="0" applyNumberFormat="1" applyFont="1" applyFill="1" applyAlignment="1">
      <alignment horizontal="center"/>
    </xf>
    <xf numFmtId="1" fontId="53" fillId="0" borderId="0" xfId="0" applyNumberFormat="1" applyFont="1" applyFill="1" applyAlignment="1">
      <alignment horizontal="center"/>
    </xf>
    <xf numFmtId="44" fontId="53" fillId="0" borderId="0" xfId="4" applyFont="1" applyAlignment="1">
      <alignment horizontal="center"/>
    </xf>
    <xf numFmtId="37" fontId="53" fillId="0" borderId="0" xfId="0" applyNumberFormat="1" applyFont="1"/>
    <xf numFmtId="165" fontId="53" fillId="0" borderId="0" xfId="4" applyNumberFormat="1" applyFont="1" applyFill="1"/>
    <xf numFmtId="0" fontId="53" fillId="0" borderId="0" xfId="0" applyFont="1" applyAlignment="1">
      <alignment horizontal="right"/>
    </xf>
    <xf numFmtId="41" fontId="61" fillId="0" borderId="0" xfId="848" applyFont="1" applyFill="1"/>
    <xf numFmtId="41" fontId="60" fillId="0" borderId="0" xfId="848" applyFont="1" applyFill="1"/>
    <xf numFmtId="164" fontId="53" fillId="0" borderId="0" xfId="9" applyNumberFormat="1" applyFont="1"/>
    <xf numFmtId="0" fontId="53" fillId="0" borderId="0" xfId="0" applyFont="1" applyAlignment="1">
      <alignment horizontal="left" indent="1"/>
    </xf>
    <xf numFmtId="164" fontId="53" fillId="0" borderId="0" xfId="9" applyNumberFormat="1" applyFont="1" applyFill="1"/>
    <xf numFmtId="164" fontId="66" fillId="0" borderId="0" xfId="9" applyNumberFormat="1" applyFont="1"/>
    <xf numFmtId="0" fontId="53" fillId="0" borderId="0" xfId="0" applyFont="1" applyAlignment="1">
      <alignment horizontal="left"/>
    </xf>
    <xf numFmtId="164" fontId="67" fillId="0" borderId="0" xfId="9" applyNumberFormat="1" applyFont="1"/>
    <xf numFmtId="164" fontId="68" fillId="0" borderId="0" xfId="9" applyNumberFormat="1" applyFont="1"/>
    <xf numFmtId="165" fontId="68" fillId="0" borderId="0" xfId="0" applyNumberFormat="1" applyFont="1"/>
    <xf numFmtId="37" fontId="53" fillId="56" borderId="0" xfId="0" applyNumberFormat="1" applyFont="1" applyFill="1"/>
    <xf numFmtId="0" fontId="53" fillId="56" borderId="0" xfId="0" applyFont="1" applyFill="1"/>
    <xf numFmtId="37" fontId="53" fillId="0" borderId="0" xfId="0" applyNumberFormat="1" applyFont="1" applyFill="1"/>
    <xf numFmtId="165" fontId="66" fillId="0" borderId="0" xfId="4" applyNumberFormat="1" applyFont="1"/>
    <xf numFmtId="0" fontId="53" fillId="0" borderId="0" xfId="0" quotePrefix="1" applyFont="1" applyAlignment="1">
      <alignment horizontal="left"/>
    </xf>
    <xf numFmtId="165" fontId="68" fillId="0" borderId="0" xfId="4" applyNumberFormat="1" applyFont="1"/>
    <xf numFmtId="0" fontId="57" fillId="0" borderId="0" xfId="0" applyFont="1" applyAlignment="1"/>
    <xf numFmtId="41" fontId="57" fillId="0" borderId="0" xfId="0" applyNumberFormat="1" applyFont="1"/>
    <xf numFmtId="41" fontId="57" fillId="0" borderId="0" xfId="0" applyNumberFormat="1" applyFont="1" applyAlignment="1">
      <alignment horizontal="right"/>
    </xf>
    <xf numFmtId="41" fontId="61" fillId="0" borderId="14" xfId="848" applyFont="1" applyBorder="1" applyAlignment="1">
      <alignment horizontal="center"/>
    </xf>
    <xf numFmtId="41" fontId="61" fillId="0" borderId="14" xfId="848" quotePrefix="1" applyFont="1" applyBorder="1" applyAlignment="1">
      <alignment horizontal="center" wrapText="1"/>
    </xf>
    <xf numFmtId="165" fontId="61" fillId="0" borderId="14" xfId="435" quotePrefix="1" applyNumberFormat="1" applyFont="1" applyBorder="1" applyAlignment="1">
      <alignment horizontal="center" wrapText="1"/>
    </xf>
    <xf numFmtId="41" fontId="61" fillId="0" borderId="0" xfId="848" quotePrefix="1" applyFont="1" applyAlignment="1">
      <alignment horizontal="center"/>
    </xf>
    <xf numFmtId="165" fontId="61" fillId="0" borderId="0" xfId="4" applyNumberFormat="1" applyFont="1" applyFill="1"/>
    <xf numFmtId="10" fontId="61" fillId="0" borderId="0" xfId="10" applyNumberFormat="1" applyFont="1" applyAlignment="1">
      <alignment horizontal="center"/>
    </xf>
    <xf numFmtId="165" fontId="61" fillId="0" borderId="0" xfId="4" applyNumberFormat="1" applyFont="1" applyFill="1" applyBorder="1"/>
    <xf numFmtId="10" fontId="61" fillId="0" borderId="0" xfId="10" applyNumberFormat="1" applyFont="1" applyBorder="1" applyAlignment="1">
      <alignment horizontal="center"/>
    </xf>
    <xf numFmtId="41" fontId="60" fillId="0" borderId="0" xfId="848" applyFont="1"/>
    <xf numFmtId="165" fontId="61" fillId="0" borderId="3" xfId="4" applyNumberFormat="1" applyFont="1" applyBorder="1"/>
    <xf numFmtId="10" fontId="61" fillId="0" borderId="3" xfId="10" applyNumberFormat="1" applyFont="1" applyBorder="1" applyAlignment="1">
      <alignment horizontal="center"/>
    </xf>
    <xf numFmtId="41" fontId="61" fillId="0" borderId="0" xfId="848" quotePrefix="1" applyFont="1" applyAlignment="1">
      <alignment horizontal="left" indent="1"/>
    </xf>
    <xf numFmtId="165" fontId="53" fillId="0" borderId="2" xfId="0" applyNumberFormat="1" applyFont="1" applyBorder="1"/>
    <xf numFmtId="164" fontId="61" fillId="0" borderId="0" xfId="3" applyNumberFormat="1" applyFont="1" applyFill="1"/>
    <xf numFmtId="181" fontId="60" fillId="0" borderId="0" xfId="0" applyNumberFormat="1" applyFont="1" applyFill="1"/>
    <xf numFmtId="189" fontId="61" fillId="0" borderId="0" xfId="0" applyNumberFormat="1" applyFont="1" applyFill="1"/>
    <xf numFmtId="165" fontId="53" fillId="0" borderId="0" xfId="846" applyNumberFormat="1" applyFont="1" applyFill="1" applyAlignment="1">
      <alignment horizontal="center"/>
    </xf>
    <xf numFmtId="41" fontId="53" fillId="0" borderId="0" xfId="0" applyNumberFormat="1" applyFont="1" applyFill="1" applyAlignment="1">
      <alignment horizontal="left" indent="1"/>
    </xf>
    <xf numFmtId="190" fontId="53" fillId="0" borderId="0" xfId="0" applyNumberFormat="1" applyFont="1" applyAlignment="1">
      <alignment horizontal="center"/>
    </xf>
    <xf numFmtId="191" fontId="53" fillId="0" borderId="0" xfId="0" applyNumberFormat="1" applyFont="1" applyAlignment="1">
      <alignment horizontal="center"/>
    </xf>
    <xf numFmtId="175" fontId="61" fillId="0" borderId="0" xfId="3" applyNumberFormat="1" applyFont="1" applyFill="1" applyAlignment="1">
      <alignment horizontal="center"/>
    </xf>
    <xf numFmtId="43" fontId="53" fillId="0" borderId="0" xfId="3" applyFont="1"/>
    <xf numFmtId="172" fontId="61" fillId="0" borderId="0" xfId="847" quotePrefix="1" applyFont="1" applyFill="1" applyBorder="1" applyAlignment="1">
      <alignment horizontal="center"/>
    </xf>
    <xf numFmtId="172" fontId="61" fillId="0" borderId="0" xfId="847" applyFont="1" applyFill="1" applyBorder="1" applyAlignment="1">
      <alignment horizontal="center"/>
    </xf>
    <xf numFmtId="177" fontId="61" fillId="0" borderId="0" xfId="4" applyNumberFormat="1" applyFont="1" applyFill="1" applyBorder="1"/>
    <xf numFmtId="44" fontId="61" fillId="0" borderId="0" xfId="4" applyNumberFormat="1" applyFont="1" applyFill="1" applyBorder="1"/>
    <xf numFmtId="44" fontId="60" fillId="0" borderId="0" xfId="4" applyFont="1" applyFill="1"/>
    <xf numFmtId="43" fontId="57" fillId="0" borderId="0" xfId="0" applyNumberFormat="1" applyFont="1"/>
    <xf numFmtId="0" fontId="53" fillId="57" borderId="0" xfId="0" applyFont="1" applyFill="1"/>
    <xf numFmtId="164" fontId="53" fillId="57" borderId="0" xfId="3" applyNumberFormat="1" applyFont="1" applyFill="1"/>
    <xf numFmtId="164" fontId="53" fillId="57" borderId="0" xfId="0" applyNumberFormat="1" applyFont="1" applyFill="1"/>
    <xf numFmtId="41" fontId="5" fillId="0" borderId="0" xfId="848" applyFont="1"/>
    <xf numFmtId="0" fontId="61" fillId="0" borderId="0" xfId="848" applyNumberFormat="1" applyFont="1"/>
    <xf numFmtId="0" fontId="69" fillId="0" borderId="0" xfId="848" applyNumberFormat="1" applyFont="1" applyAlignment="1">
      <alignment horizontal="center"/>
    </xf>
    <xf numFmtId="0" fontId="61" fillId="0" borderId="0" xfId="848" applyNumberFormat="1" applyFont="1" applyAlignment="1">
      <alignment horizontal="left" indent="2"/>
    </xf>
    <xf numFmtId="41" fontId="70" fillId="0" borderId="0" xfId="848" applyFont="1"/>
    <xf numFmtId="41" fontId="69" fillId="0" borderId="0" xfId="848" applyFont="1" applyFill="1"/>
    <xf numFmtId="43" fontId="53" fillId="0" borderId="0" xfId="3" applyNumberFormat="1" applyFont="1"/>
    <xf numFmtId="10" fontId="61" fillId="0" borderId="2" xfId="10" applyNumberFormat="1" applyFont="1" applyBorder="1" applyAlignment="1">
      <alignment horizontal="center"/>
    </xf>
    <xf numFmtId="44" fontId="0" fillId="0" borderId="0" xfId="0" applyNumberFormat="1" applyFont="1"/>
    <xf numFmtId="44" fontId="61" fillId="0" borderId="0" xfId="4" applyFont="1" applyFill="1" applyBorder="1"/>
    <xf numFmtId="10" fontId="61" fillId="0" borderId="0" xfId="8" applyNumberFormat="1" applyFont="1" applyFill="1" applyBorder="1"/>
    <xf numFmtId="165" fontId="71" fillId="0" borderId="0" xfId="0" applyNumberFormat="1" applyFont="1"/>
    <xf numFmtId="165" fontId="53" fillId="0" borderId="0" xfId="0" applyNumberFormat="1" applyFont="1" applyBorder="1"/>
    <xf numFmtId="165" fontId="69" fillId="0" borderId="0" xfId="4" quotePrefix="1" applyNumberFormat="1" applyFont="1" applyFill="1"/>
    <xf numFmtId="41" fontId="61" fillId="0" borderId="0" xfId="848" applyFont="1" applyAlignment="1"/>
    <xf numFmtId="0" fontId="61" fillId="0" borderId="0" xfId="848" quotePrefix="1" applyNumberFormat="1" applyFont="1" applyAlignment="1">
      <alignment horizontal="center" wrapText="1"/>
    </xf>
    <xf numFmtId="0" fontId="52" fillId="0" borderId="0" xfId="0" applyFont="1" applyAlignment="1">
      <alignment horizontal="center"/>
    </xf>
    <xf numFmtId="0" fontId="56" fillId="0" borderId="0" xfId="0" applyFont="1" applyAlignment="1">
      <alignment horizontal="center"/>
    </xf>
    <xf numFmtId="0" fontId="60" fillId="0" borderId="14" xfId="0" applyFont="1" applyFill="1" applyBorder="1" applyAlignment="1">
      <alignment horizontal="center"/>
    </xf>
    <xf numFmtId="0" fontId="57" fillId="0" borderId="0" xfId="0" applyFont="1" applyFill="1" applyAlignment="1">
      <alignment horizontal="center"/>
    </xf>
    <xf numFmtId="0" fontId="57" fillId="0" borderId="0" xfId="0" applyFont="1" applyAlignment="1">
      <alignment horizontal="center"/>
    </xf>
    <xf numFmtId="0" fontId="59" fillId="0" borderId="0" xfId="0" applyFont="1" applyAlignment="1">
      <alignment horizontal="center"/>
    </xf>
    <xf numFmtId="41" fontId="60" fillId="0" borderId="0" xfId="0" applyNumberFormat="1" applyFont="1" applyAlignment="1">
      <alignment horizontal="center"/>
    </xf>
    <xf numFmtId="0" fontId="53" fillId="0" borderId="0" xfId="0" applyFont="1" applyFill="1" applyBorder="1" applyAlignment="1">
      <alignment horizontal="center" wrapText="1"/>
    </xf>
  </cellXfs>
  <cellStyles count="849">
    <cellStyle name="20% - Accent1 10" xfId="13"/>
    <cellStyle name="20% - Accent1 11" xfId="14"/>
    <cellStyle name="20% - Accent1 12" xfId="15"/>
    <cellStyle name="20% - Accent1 13" xfId="16"/>
    <cellStyle name="20% - Accent1 14" xfId="17"/>
    <cellStyle name="20% - Accent1 15" xfId="18"/>
    <cellStyle name="20% - Accent1 16"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10" xfId="28"/>
    <cellStyle name="20% - Accent2 11" xfId="29"/>
    <cellStyle name="20% - Accent2 12" xfId="30"/>
    <cellStyle name="20% - Accent2 13" xfId="31"/>
    <cellStyle name="20% - Accent2 14" xfId="32"/>
    <cellStyle name="20% - Accent2 15" xfId="33"/>
    <cellStyle name="20% - Accent2 16" xfId="34"/>
    <cellStyle name="20% - Accent2 2" xfId="35"/>
    <cellStyle name="20% - Accent2 3" xfId="36"/>
    <cellStyle name="20% - Accent2 4" xfId="37"/>
    <cellStyle name="20% - Accent2 5" xfId="38"/>
    <cellStyle name="20% - Accent2 6" xfId="39"/>
    <cellStyle name="20% - Accent2 7" xfId="40"/>
    <cellStyle name="20% - Accent2 8" xfId="41"/>
    <cellStyle name="20% - Accent2 9" xfId="42"/>
    <cellStyle name="20% - Accent3 10" xfId="43"/>
    <cellStyle name="20% - Accent3 11" xfId="44"/>
    <cellStyle name="20% - Accent3 12" xfId="45"/>
    <cellStyle name="20% - Accent3 13" xfId="46"/>
    <cellStyle name="20% - Accent3 14" xfId="47"/>
    <cellStyle name="20% - Accent3 15" xfId="48"/>
    <cellStyle name="20% - Accent3 16" xfId="49"/>
    <cellStyle name="20% - Accent3 2" xfId="50"/>
    <cellStyle name="20% - Accent3 3" xfId="51"/>
    <cellStyle name="20% - Accent3 4" xfId="52"/>
    <cellStyle name="20% - Accent3 5" xfId="53"/>
    <cellStyle name="20% - Accent3 6" xfId="54"/>
    <cellStyle name="20% - Accent3 7" xfId="55"/>
    <cellStyle name="20% - Accent3 8" xfId="56"/>
    <cellStyle name="20% - Accent3 9" xfId="57"/>
    <cellStyle name="20% - Accent4 10" xfId="58"/>
    <cellStyle name="20% - Accent4 11" xfId="59"/>
    <cellStyle name="20% - Accent4 12" xfId="60"/>
    <cellStyle name="20% - Accent4 13" xfId="61"/>
    <cellStyle name="20% - Accent4 14" xfId="62"/>
    <cellStyle name="20% - Accent4 15" xfId="63"/>
    <cellStyle name="20% - Accent4 16" xfId="64"/>
    <cellStyle name="20% - Accent4 2" xfId="65"/>
    <cellStyle name="20% - Accent4 3" xfId="66"/>
    <cellStyle name="20% - Accent4 4" xfId="67"/>
    <cellStyle name="20% - Accent4 5" xfId="68"/>
    <cellStyle name="20% - Accent4 6" xfId="69"/>
    <cellStyle name="20% - Accent4 7" xfId="70"/>
    <cellStyle name="20% - Accent4 8" xfId="71"/>
    <cellStyle name="20% - Accent4 9" xfId="72"/>
    <cellStyle name="20% - Accent5 10" xfId="73"/>
    <cellStyle name="20% - Accent5 11" xfId="74"/>
    <cellStyle name="20% - Accent5 12" xfId="75"/>
    <cellStyle name="20% - Accent5 13" xfId="76"/>
    <cellStyle name="20% - Accent5 14" xfId="77"/>
    <cellStyle name="20% - Accent5 15" xfId="78"/>
    <cellStyle name="20% - Accent5 16" xfId="79"/>
    <cellStyle name="20% - Accent5 2" xfId="80"/>
    <cellStyle name="20% - Accent5 3" xfId="81"/>
    <cellStyle name="20% - Accent5 4" xfId="82"/>
    <cellStyle name="20% - Accent5 5" xfId="83"/>
    <cellStyle name="20% - Accent5 6" xfId="84"/>
    <cellStyle name="20% - Accent5 7" xfId="85"/>
    <cellStyle name="20% - Accent5 8" xfId="86"/>
    <cellStyle name="20% - Accent5 9" xfId="87"/>
    <cellStyle name="20% - Accent6 10" xfId="88"/>
    <cellStyle name="20% - Accent6 11" xfId="89"/>
    <cellStyle name="20% - Accent6 12" xfId="90"/>
    <cellStyle name="20% - Accent6 13" xfId="91"/>
    <cellStyle name="20% - Accent6 14" xfId="92"/>
    <cellStyle name="20% - Accent6 15" xfId="93"/>
    <cellStyle name="20% - Accent6 16" xfId="94"/>
    <cellStyle name="20% - Accent6 2" xfId="95"/>
    <cellStyle name="20% - Accent6 3" xfId="96"/>
    <cellStyle name="20% - Accent6 4" xfId="97"/>
    <cellStyle name="20% - Accent6 5" xfId="98"/>
    <cellStyle name="20% - Accent6 6" xfId="99"/>
    <cellStyle name="20% - Accent6 7" xfId="100"/>
    <cellStyle name="20% - Accent6 8" xfId="101"/>
    <cellStyle name="20% - Accent6 9" xfId="102"/>
    <cellStyle name="40% - Accent1 10" xfId="103"/>
    <cellStyle name="40% - Accent1 11" xfId="104"/>
    <cellStyle name="40% - Accent1 12" xfId="105"/>
    <cellStyle name="40% - Accent1 13" xfId="106"/>
    <cellStyle name="40% - Accent1 14" xfId="107"/>
    <cellStyle name="40% - Accent1 15" xfId="108"/>
    <cellStyle name="40% - Accent1 16"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10" xfId="118"/>
    <cellStyle name="40% - Accent2 11" xfId="119"/>
    <cellStyle name="40% - Accent2 12" xfId="120"/>
    <cellStyle name="40% - Accent2 13" xfId="121"/>
    <cellStyle name="40% - Accent2 14" xfId="122"/>
    <cellStyle name="40% - Accent2 15" xfId="123"/>
    <cellStyle name="40% - Accent2 16" xfId="124"/>
    <cellStyle name="40% - Accent2 2" xfId="125"/>
    <cellStyle name="40% - Accent2 3" xfId="126"/>
    <cellStyle name="40% - Accent2 4" xfId="127"/>
    <cellStyle name="40% - Accent2 5" xfId="128"/>
    <cellStyle name="40% - Accent2 6" xfId="129"/>
    <cellStyle name="40% - Accent2 7" xfId="130"/>
    <cellStyle name="40% - Accent2 8" xfId="131"/>
    <cellStyle name="40% - Accent2 9" xfId="132"/>
    <cellStyle name="40% - Accent3 10" xfId="133"/>
    <cellStyle name="40% - Accent3 11" xfId="134"/>
    <cellStyle name="40% - Accent3 12" xfId="135"/>
    <cellStyle name="40% - Accent3 13" xfId="136"/>
    <cellStyle name="40% - Accent3 14" xfId="137"/>
    <cellStyle name="40% - Accent3 15" xfId="138"/>
    <cellStyle name="40% - Accent3 16" xfId="139"/>
    <cellStyle name="40% - Accent3 2" xfId="140"/>
    <cellStyle name="40% - Accent3 3" xfId="141"/>
    <cellStyle name="40% - Accent3 4" xfId="142"/>
    <cellStyle name="40% - Accent3 5" xfId="143"/>
    <cellStyle name="40% - Accent3 6" xfId="144"/>
    <cellStyle name="40% - Accent3 7" xfId="145"/>
    <cellStyle name="40% - Accent3 8" xfId="146"/>
    <cellStyle name="40% - Accent3 9" xfId="147"/>
    <cellStyle name="40% - Accent4 10" xfId="148"/>
    <cellStyle name="40% - Accent4 11" xfId="149"/>
    <cellStyle name="40% - Accent4 12" xfId="150"/>
    <cellStyle name="40% - Accent4 13" xfId="151"/>
    <cellStyle name="40% - Accent4 14" xfId="152"/>
    <cellStyle name="40% - Accent4 15" xfId="153"/>
    <cellStyle name="40% - Accent4 16" xfId="154"/>
    <cellStyle name="40% - Accent4 2" xfId="155"/>
    <cellStyle name="40% - Accent4 3" xfId="156"/>
    <cellStyle name="40% - Accent4 4" xfId="157"/>
    <cellStyle name="40% - Accent4 5" xfId="158"/>
    <cellStyle name="40% - Accent4 6" xfId="159"/>
    <cellStyle name="40% - Accent4 7" xfId="160"/>
    <cellStyle name="40% - Accent4 8" xfId="161"/>
    <cellStyle name="40% - Accent4 9" xfId="162"/>
    <cellStyle name="40% - Accent5 10" xfId="163"/>
    <cellStyle name="40% - Accent5 11" xfId="164"/>
    <cellStyle name="40% - Accent5 12" xfId="165"/>
    <cellStyle name="40% - Accent5 13" xfId="166"/>
    <cellStyle name="40% - Accent5 14" xfId="167"/>
    <cellStyle name="40% - Accent5 15" xfId="168"/>
    <cellStyle name="40% - Accent5 16" xfId="169"/>
    <cellStyle name="40% - Accent5 2" xfId="170"/>
    <cellStyle name="40% - Accent5 3" xfId="171"/>
    <cellStyle name="40% - Accent5 4" xfId="172"/>
    <cellStyle name="40% - Accent5 5" xfId="173"/>
    <cellStyle name="40% - Accent5 6" xfId="174"/>
    <cellStyle name="40% - Accent5 7" xfId="175"/>
    <cellStyle name="40% - Accent5 8" xfId="176"/>
    <cellStyle name="40% - Accent5 9" xfId="177"/>
    <cellStyle name="40% - Accent6 10" xfId="178"/>
    <cellStyle name="40% - Accent6 11" xfId="179"/>
    <cellStyle name="40% - Accent6 12" xfId="180"/>
    <cellStyle name="40% - Accent6 13" xfId="181"/>
    <cellStyle name="40% - Accent6 14" xfId="182"/>
    <cellStyle name="40% - Accent6 15" xfId="183"/>
    <cellStyle name="40% - Accent6 16" xfId="184"/>
    <cellStyle name="40% - Accent6 2" xfId="185"/>
    <cellStyle name="40% - Accent6 3" xfId="186"/>
    <cellStyle name="40% - Accent6 4" xfId="187"/>
    <cellStyle name="40% - Accent6 5" xfId="188"/>
    <cellStyle name="40% - Accent6 6" xfId="189"/>
    <cellStyle name="40% - Accent6 7" xfId="190"/>
    <cellStyle name="40% - Accent6 8" xfId="191"/>
    <cellStyle name="40% - Accent6 9" xfId="192"/>
    <cellStyle name="60% - Accent1 10" xfId="193"/>
    <cellStyle name="60% - Accent1 11" xfId="194"/>
    <cellStyle name="60% - Accent1 12" xfId="195"/>
    <cellStyle name="60% - Accent1 13" xfId="196"/>
    <cellStyle name="60% - Accent1 14" xfId="197"/>
    <cellStyle name="60% - Accent1 15" xfId="198"/>
    <cellStyle name="60% - Accent1 16" xfId="199"/>
    <cellStyle name="60% - Accent1 2" xfId="200"/>
    <cellStyle name="60% - Accent1 3" xfId="201"/>
    <cellStyle name="60% - Accent1 4" xfId="202"/>
    <cellStyle name="60% - Accent1 5" xfId="203"/>
    <cellStyle name="60% - Accent1 6" xfId="204"/>
    <cellStyle name="60% - Accent1 7" xfId="205"/>
    <cellStyle name="60% - Accent1 8" xfId="206"/>
    <cellStyle name="60% - Accent1 9" xfId="207"/>
    <cellStyle name="60% - Accent2 10" xfId="208"/>
    <cellStyle name="60% - Accent2 11" xfId="209"/>
    <cellStyle name="60% - Accent2 12" xfId="210"/>
    <cellStyle name="60% - Accent2 13" xfId="211"/>
    <cellStyle name="60% - Accent2 14" xfId="212"/>
    <cellStyle name="60% - Accent2 15" xfId="213"/>
    <cellStyle name="60% - Accent2 16" xfId="214"/>
    <cellStyle name="60% - Accent2 2" xfId="215"/>
    <cellStyle name="60% - Accent2 3" xfId="216"/>
    <cellStyle name="60% - Accent2 4" xfId="217"/>
    <cellStyle name="60% - Accent2 5" xfId="218"/>
    <cellStyle name="60% - Accent2 6" xfId="219"/>
    <cellStyle name="60% - Accent2 7" xfId="220"/>
    <cellStyle name="60% - Accent2 8" xfId="221"/>
    <cellStyle name="60% - Accent2 9" xfId="222"/>
    <cellStyle name="60% - Accent3 10" xfId="223"/>
    <cellStyle name="60% - Accent3 11" xfId="224"/>
    <cellStyle name="60% - Accent3 12" xfId="225"/>
    <cellStyle name="60% - Accent3 13" xfId="226"/>
    <cellStyle name="60% - Accent3 14" xfId="227"/>
    <cellStyle name="60% - Accent3 15" xfId="228"/>
    <cellStyle name="60% - Accent3 16" xfId="229"/>
    <cellStyle name="60% - Accent3 2" xfId="230"/>
    <cellStyle name="60% - Accent3 3" xfId="231"/>
    <cellStyle name="60% - Accent3 4" xfId="232"/>
    <cellStyle name="60% - Accent3 5" xfId="233"/>
    <cellStyle name="60% - Accent3 6" xfId="234"/>
    <cellStyle name="60% - Accent3 7" xfId="235"/>
    <cellStyle name="60% - Accent3 8" xfId="236"/>
    <cellStyle name="60% - Accent3 9" xfId="237"/>
    <cellStyle name="60% - Accent4 10" xfId="238"/>
    <cellStyle name="60% - Accent4 11" xfId="239"/>
    <cellStyle name="60% - Accent4 12" xfId="240"/>
    <cellStyle name="60% - Accent4 13" xfId="241"/>
    <cellStyle name="60% - Accent4 14" xfId="242"/>
    <cellStyle name="60% - Accent4 15" xfId="243"/>
    <cellStyle name="60% - Accent4 16" xfId="244"/>
    <cellStyle name="60% - Accent4 2" xfId="245"/>
    <cellStyle name="60% - Accent4 3" xfId="246"/>
    <cellStyle name="60% - Accent4 4" xfId="247"/>
    <cellStyle name="60% - Accent4 5" xfId="248"/>
    <cellStyle name="60% - Accent4 6" xfId="249"/>
    <cellStyle name="60% - Accent4 7" xfId="250"/>
    <cellStyle name="60% - Accent4 8" xfId="251"/>
    <cellStyle name="60% - Accent4 9" xfId="252"/>
    <cellStyle name="60% - Accent5 10" xfId="253"/>
    <cellStyle name="60% - Accent5 11" xfId="254"/>
    <cellStyle name="60% - Accent5 12" xfId="255"/>
    <cellStyle name="60% - Accent5 13" xfId="256"/>
    <cellStyle name="60% - Accent5 14" xfId="257"/>
    <cellStyle name="60% - Accent5 15" xfId="258"/>
    <cellStyle name="60% - Accent5 16" xfId="259"/>
    <cellStyle name="60% - Accent5 2" xfId="260"/>
    <cellStyle name="60% - Accent5 3" xfId="261"/>
    <cellStyle name="60% - Accent5 4" xfId="262"/>
    <cellStyle name="60% - Accent5 5" xfId="263"/>
    <cellStyle name="60% - Accent5 6" xfId="264"/>
    <cellStyle name="60% - Accent5 7" xfId="265"/>
    <cellStyle name="60% - Accent5 8" xfId="266"/>
    <cellStyle name="60% - Accent5 9" xfId="267"/>
    <cellStyle name="60% - Accent6 10" xfId="268"/>
    <cellStyle name="60% - Accent6 11" xfId="269"/>
    <cellStyle name="60% - Accent6 12" xfId="270"/>
    <cellStyle name="60% - Accent6 13" xfId="271"/>
    <cellStyle name="60% - Accent6 14" xfId="272"/>
    <cellStyle name="60% - Accent6 15" xfId="273"/>
    <cellStyle name="60% - Accent6 16" xfId="274"/>
    <cellStyle name="60% - Accent6 2" xfId="275"/>
    <cellStyle name="60% - Accent6 3" xfId="276"/>
    <cellStyle name="60% - Accent6 4" xfId="277"/>
    <cellStyle name="60% - Accent6 5" xfId="278"/>
    <cellStyle name="60% - Accent6 6" xfId="279"/>
    <cellStyle name="60% - Accent6 7" xfId="280"/>
    <cellStyle name="60% - Accent6 8" xfId="281"/>
    <cellStyle name="60% - Accent6 9" xfId="282"/>
    <cellStyle name="Accent1 10" xfId="283"/>
    <cellStyle name="Accent1 11" xfId="284"/>
    <cellStyle name="Accent1 12" xfId="285"/>
    <cellStyle name="Accent1 13" xfId="286"/>
    <cellStyle name="Accent1 14" xfId="287"/>
    <cellStyle name="Accent1 15" xfId="288"/>
    <cellStyle name="Accent1 16" xfId="289"/>
    <cellStyle name="Accent1 2" xfId="290"/>
    <cellStyle name="Accent1 3" xfId="291"/>
    <cellStyle name="Accent1 4" xfId="292"/>
    <cellStyle name="Accent1 5" xfId="293"/>
    <cellStyle name="Accent1 6" xfId="294"/>
    <cellStyle name="Accent1 7" xfId="295"/>
    <cellStyle name="Accent1 8" xfId="296"/>
    <cellStyle name="Accent1 9" xfId="297"/>
    <cellStyle name="Accent2 10" xfId="298"/>
    <cellStyle name="Accent2 11" xfId="299"/>
    <cellStyle name="Accent2 12" xfId="300"/>
    <cellStyle name="Accent2 13" xfId="301"/>
    <cellStyle name="Accent2 14" xfId="302"/>
    <cellStyle name="Accent2 15" xfId="303"/>
    <cellStyle name="Accent2 16" xfId="304"/>
    <cellStyle name="Accent2 2" xfId="305"/>
    <cellStyle name="Accent2 3" xfId="306"/>
    <cellStyle name="Accent2 4" xfId="307"/>
    <cellStyle name="Accent2 5" xfId="308"/>
    <cellStyle name="Accent2 6" xfId="309"/>
    <cellStyle name="Accent2 7" xfId="310"/>
    <cellStyle name="Accent2 8" xfId="311"/>
    <cellStyle name="Accent2 9" xfId="312"/>
    <cellStyle name="Accent3 10" xfId="313"/>
    <cellStyle name="Accent3 11" xfId="314"/>
    <cellStyle name="Accent3 12" xfId="315"/>
    <cellStyle name="Accent3 13" xfId="316"/>
    <cellStyle name="Accent3 14" xfId="317"/>
    <cellStyle name="Accent3 15" xfId="318"/>
    <cellStyle name="Accent3 16" xfId="319"/>
    <cellStyle name="Accent3 2" xfId="320"/>
    <cellStyle name="Accent3 3" xfId="321"/>
    <cellStyle name="Accent3 4" xfId="322"/>
    <cellStyle name="Accent3 5" xfId="323"/>
    <cellStyle name="Accent3 6" xfId="324"/>
    <cellStyle name="Accent3 7" xfId="325"/>
    <cellStyle name="Accent3 8" xfId="326"/>
    <cellStyle name="Accent3 9" xfId="327"/>
    <cellStyle name="Accent4 10" xfId="328"/>
    <cellStyle name="Accent4 11" xfId="329"/>
    <cellStyle name="Accent4 12" xfId="330"/>
    <cellStyle name="Accent4 13" xfId="331"/>
    <cellStyle name="Accent4 14" xfId="332"/>
    <cellStyle name="Accent4 15" xfId="333"/>
    <cellStyle name="Accent4 16" xfId="334"/>
    <cellStyle name="Accent4 2" xfId="335"/>
    <cellStyle name="Accent4 3" xfId="336"/>
    <cellStyle name="Accent4 4" xfId="337"/>
    <cellStyle name="Accent4 5" xfId="338"/>
    <cellStyle name="Accent4 6" xfId="339"/>
    <cellStyle name="Accent4 7" xfId="340"/>
    <cellStyle name="Accent4 8" xfId="341"/>
    <cellStyle name="Accent4 9" xfId="342"/>
    <cellStyle name="Accent5 10" xfId="343"/>
    <cellStyle name="Accent5 11" xfId="344"/>
    <cellStyle name="Accent5 12" xfId="345"/>
    <cellStyle name="Accent5 13" xfId="346"/>
    <cellStyle name="Accent5 14" xfId="347"/>
    <cellStyle name="Accent5 15" xfId="348"/>
    <cellStyle name="Accent5 16" xfId="349"/>
    <cellStyle name="Accent5 2" xfId="350"/>
    <cellStyle name="Accent5 3" xfId="351"/>
    <cellStyle name="Accent5 4" xfId="352"/>
    <cellStyle name="Accent5 5" xfId="353"/>
    <cellStyle name="Accent5 6" xfId="354"/>
    <cellStyle name="Accent5 7" xfId="355"/>
    <cellStyle name="Accent5 8" xfId="356"/>
    <cellStyle name="Accent5 9" xfId="357"/>
    <cellStyle name="Accent6 10" xfId="358"/>
    <cellStyle name="Accent6 11" xfId="359"/>
    <cellStyle name="Accent6 12" xfId="360"/>
    <cellStyle name="Accent6 13" xfId="361"/>
    <cellStyle name="Accent6 14" xfId="362"/>
    <cellStyle name="Accent6 15" xfId="363"/>
    <cellStyle name="Accent6 16" xfId="364"/>
    <cellStyle name="Accent6 2" xfId="365"/>
    <cellStyle name="Accent6 3" xfId="366"/>
    <cellStyle name="Accent6 4" xfId="367"/>
    <cellStyle name="Accent6 5" xfId="368"/>
    <cellStyle name="Accent6 6" xfId="369"/>
    <cellStyle name="Accent6 7" xfId="370"/>
    <cellStyle name="Accent6 8" xfId="371"/>
    <cellStyle name="Accent6 9" xfId="372"/>
    <cellStyle name="Bad 10" xfId="373"/>
    <cellStyle name="Bad 11" xfId="374"/>
    <cellStyle name="Bad 12" xfId="375"/>
    <cellStyle name="Bad 13" xfId="376"/>
    <cellStyle name="Bad 14" xfId="377"/>
    <cellStyle name="Bad 15" xfId="378"/>
    <cellStyle name="Bad 16" xfId="379"/>
    <cellStyle name="Bad 2" xfId="380"/>
    <cellStyle name="Bad 3" xfId="381"/>
    <cellStyle name="Bad 4" xfId="382"/>
    <cellStyle name="Bad 5" xfId="383"/>
    <cellStyle name="Bad 6" xfId="384"/>
    <cellStyle name="Bad 7" xfId="385"/>
    <cellStyle name="Bad 8" xfId="386"/>
    <cellStyle name="Bad 9" xfId="387"/>
    <cellStyle name="Calculation 10" xfId="388"/>
    <cellStyle name="Calculation 11" xfId="389"/>
    <cellStyle name="Calculation 12" xfId="390"/>
    <cellStyle name="Calculation 13" xfId="391"/>
    <cellStyle name="Calculation 14" xfId="392"/>
    <cellStyle name="Calculation 15" xfId="393"/>
    <cellStyle name="Calculation 16" xfId="394"/>
    <cellStyle name="Calculation 2" xfId="395"/>
    <cellStyle name="Calculation 3" xfId="396"/>
    <cellStyle name="Calculation 4" xfId="397"/>
    <cellStyle name="Calculation 5" xfId="398"/>
    <cellStyle name="Calculation 6" xfId="399"/>
    <cellStyle name="Calculation 7" xfId="400"/>
    <cellStyle name="Calculation 8" xfId="401"/>
    <cellStyle name="Calculation 9" xfId="402"/>
    <cellStyle name="Check Cell 10" xfId="403"/>
    <cellStyle name="Check Cell 11" xfId="404"/>
    <cellStyle name="Check Cell 12" xfId="405"/>
    <cellStyle name="Check Cell 13" xfId="406"/>
    <cellStyle name="Check Cell 14" xfId="407"/>
    <cellStyle name="Check Cell 15" xfId="408"/>
    <cellStyle name="Check Cell 16" xfId="409"/>
    <cellStyle name="Check Cell 2" xfId="410"/>
    <cellStyle name="Check Cell 3" xfId="411"/>
    <cellStyle name="Check Cell 4" xfId="412"/>
    <cellStyle name="Check Cell 5" xfId="413"/>
    <cellStyle name="Check Cell 6" xfId="414"/>
    <cellStyle name="Check Cell 7" xfId="415"/>
    <cellStyle name="Check Cell 8" xfId="416"/>
    <cellStyle name="Check Cell 9" xfId="417"/>
    <cellStyle name="Comma" xfId="3" builtinId="3"/>
    <cellStyle name="Comma 2" xfId="1"/>
    <cellStyle name="Comma 2 10" xfId="418"/>
    <cellStyle name="Comma 2 11" xfId="419"/>
    <cellStyle name="Comma 2 12" xfId="420"/>
    <cellStyle name="Comma 2 13" xfId="421"/>
    <cellStyle name="Comma 2 14" xfId="422"/>
    <cellStyle name="Comma 2 2" xfId="423"/>
    <cellStyle name="Comma 2 3" xfId="424"/>
    <cellStyle name="Comma 2 4" xfId="425"/>
    <cellStyle name="Comma 2 5" xfId="426"/>
    <cellStyle name="Comma 2 6" xfId="427"/>
    <cellStyle name="Comma 2 7" xfId="428"/>
    <cellStyle name="Comma 2 8" xfId="429"/>
    <cellStyle name="Comma 2 9" xfId="430"/>
    <cellStyle name="Comma 3" xfId="431"/>
    <cellStyle name="Comma 4" xfId="432"/>
    <cellStyle name="Comma 5" xfId="433"/>
    <cellStyle name="Comma 6" xfId="9"/>
    <cellStyle name="Comma 7" xfId="843"/>
    <cellStyle name="Comma0" xfId="434"/>
    <cellStyle name="Currency" xfId="4" builtinId="4"/>
    <cellStyle name="Currency 2" xfId="6"/>
    <cellStyle name="Currency 3" xfId="435"/>
    <cellStyle name="Currency 4" xfId="436"/>
    <cellStyle name="Currency 5" xfId="846"/>
    <cellStyle name="Currency0" xfId="437"/>
    <cellStyle name="Date" xfId="438"/>
    <cellStyle name="Euro" xfId="439"/>
    <cellStyle name="Explanatory Text 10" xfId="440"/>
    <cellStyle name="Explanatory Text 11" xfId="441"/>
    <cellStyle name="Explanatory Text 12" xfId="442"/>
    <cellStyle name="Explanatory Text 13" xfId="443"/>
    <cellStyle name="Explanatory Text 14" xfId="444"/>
    <cellStyle name="Explanatory Text 15" xfId="445"/>
    <cellStyle name="Explanatory Text 16" xfId="446"/>
    <cellStyle name="Explanatory Text 2" xfId="447"/>
    <cellStyle name="Explanatory Text 3" xfId="448"/>
    <cellStyle name="Explanatory Text 4" xfId="449"/>
    <cellStyle name="Explanatory Text 5" xfId="450"/>
    <cellStyle name="Explanatory Text 6" xfId="451"/>
    <cellStyle name="Explanatory Text 7" xfId="452"/>
    <cellStyle name="Explanatory Text 8" xfId="453"/>
    <cellStyle name="Explanatory Text 9" xfId="454"/>
    <cellStyle name="F2" xfId="455"/>
    <cellStyle name="F2 2" xfId="456"/>
    <cellStyle name="F2 3" xfId="457"/>
    <cellStyle name="F2 4" xfId="458"/>
    <cellStyle name="F2 5" xfId="459"/>
    <cellStyle name="F2 6" xfId="460"/>
    <cellStyle name="F2 7" xfId="461"/>
    <cellStyle name="F2 8" xfId="462"/>
    <cellStyle name="F2 9" xfId="463"/>
    <cellStyle name="F2_Regenerated Revenues LGE Gas 2008-04 with Elec Gen-Seelye final version " xfId="464"/>
    <cellStyle name="F3" xfId="465"/>
    <cellStyle name="F3 2" xfId="466"/>
    <cellStyle name="F3 3" xfId="467"/>
    <cellStyle name="F3 4" xfId="468"/>
    <cellStyle name="F3 5" xfId="469"/>
    <cellStyle name="F3 6" xfId="470"/>
    <cellStyle name="F3 7" xfId="471"/>
    <cellStyle name="F3 8" xfId="472"/>
    <cellStyle name="F3 9" xfId="473"/>
    <cellStyle name="F3_Regenerated Revenues LGE Gas 2008-04 with Elec Gen-Seelye final version " xfId="474"/>
    <cellStyle name="F4" xfId="475"/>
    <cellStyle name="F4 2" xfId="476"/>
    <cellStyle name="F4 3" xfId="477"/>
    <cellStyle name="F4 4" xfId="478"/>
    <cellStyle name="F4 5" xfId="479"/>
    <cellStyle name="F4 6" xfId="480"/>
    <cellStyle name="F4 7" xfId="481"/>
    <cellStyle name="F4 8" xfId="482"/>
    <cellStyle name="F4 9" xfId="483"/>
    <cellStyle name="F4_Regenerated Revenues LGE Gas 2008-04 with Elec Gen-Seelye final version " xfId="484"/>
    <cellStyle name="F5" xfId="485"/>
    <cellStyle name="F5 2" xfId="486"/>
    <cellStyle name="F5 3" xfId="487"/>
    <cellStyle name="F5 4" xfId="488"/>
    <cellStyle name="F5 5" xfId="489"/>
    <cellStyle name="F5 6" xfId="490"/>
    <cellStyle name="F5 7" xfId="491"/>
    <cellStyle name="F5 8" xfId="492"/>
    <cellStyle name="F5 9" xfId="493"/>
    <cellStyle name="F5_Regenerated Revenues LGE Gas 2008-04 with Elec Gen-Seelye final version " xfId="494"/>
    <cellStyle name="F6" xfId="495"/>
    <cellStyle name="F6 2" xfId="496"/>
    <cellStyle name="F6 3" xfId="497"/>
    <cellStyle name="F6 4" xfId="498"/>
    <cellStyle name="F6 5" xfId="499"/>
    <cellStyle name="F6 6" xfId="500"/>
    <cellStyle name="F6 7" xfId="501"/>
    <cellStyle name="F6 8" xfId="502"/>
    <cellStyle name="F6 9" xfId="503"/>
    <cellStyle name="F6_Regenerated Revenues LGE Gas 2008-04 with Elec Gen-Seelye final version " xfId="504"/>
    <cellStyle name="F7" xfId="505"/>
    <cellStyle name="F7 2" xfId="506"/>
    <cellStyle name="F7 3" xfId="507"/>
    <cellStyle name="F7 4" xfId="508"/>
    <cellStyle name="F7 5" xfId="509"/>
    <cellStyle name="F7 6" xfId="510"/>
    <cellStyle name="F7 7" xfId="511"/>
    <cellStyle name="F7 8" xfId="512"/>
    <cellStyle name="F7 9" xfId="513"/>
    <cellStyle name="F7_Regenerated Revenues LGE Gas 2008-04 with Elec Gen-Seelye final version " xfId="514"/>
    <cellStyle name="F8" xfId="515"/>
    <cellStyle name="F8 2" xfId="516"/>
    <cellStyle name="F8 3" xfId="517"/>
    <cellStyle name="F8 4" xfId="518"/>
    <cellStyle name="F8 5" xfId="519"/>
    <cellStyle name="F8 6" xfId="520"/>
    <cellStyle name="F8 7" xfId="521"/>
    <cellStyle name="F8 8" xfId="522"/>
    <cellStyle name="F8 9" xfId="523"/>
    <cellStyle name="F8_Regenerated Revenues LGE Gas 2008-04 with Elec Gen-Seelye final version " xfId="524"/>
    <cellStyle name="Fixed" xfId="525"/>
    <cellStyle name="Good 10" xfId="526"/>
    <cellStyle name="Good 11" xfId="527"/>
    <cellStyle name="Good 12" xfId="528"/>
    <cellStyle name="Good 13" xfId="529"/>
    <cellStyle name="Good 14" xfId="530"/>
    <cellStyle name="Good 15" xfId="531"/>
    <cellStyle name="Good 16" xfId="532"/>
    <cellStyle name="Good 2" xfId="533"/>
    <cellStyle name="Good 3" xfId="534"/>
    <cellStyle name="Good 4" xfId="535"/>
    <cellStyle name="Good 5" xfId="536"/>
    <cellStyle name="Good 6" xfId="537"/>
    <cellStyle name="Good 7" xfId="538"/>
    <cellStyle name="Good 8" xfId="539"/>
    <cellStyle name="Good 9" xfId="540"/>
    <cellStyle name="Heading 1 10" xfId="541"/>
    <cellStyle name="Heading 1 11" xfId="542"/>
    <cellStyle name="Heading 1 12" xfId="543"/>
    <cellStyle name="Heading 1 13" xfId="544"/>
    <cellStyle name="Heading 1 14" xfId="545"/>
    <cellStyle name="Heading 1 15" xfId="546"/>
    <cellStyle name="Heading 1 16" xfId="547"/>
    <cellStyle name="Heading 1 2" xfId="548"/>
    <cellStyle name="Heading 1 3" xfId="549"/>
    <cellStyle name="Heading 1 4" xfId="550"/>
    <cellStyle name="Heading 1 5" xfId="551"/>
    <cellStyle name="Heading 1 6" xfId="552"/>
    <cellStyle name="Heading 1 7" xfId="553"/>
    <cellStyle name="Heading 1 8" xfId="554"/>
    <cellStyle name="Heading 1 9" xfId="555"/>
    <cellStyle name="Heading 2 10" xfId="556"/>
    <cellStyle name="Heading 2 11" xfId="557"/>
    <cellStyle name="Heading 2 12" xfId="558"/>
    <cellStyle name="Heading 2 13" xfId="559"/>
    <cellStyle name="Heading 2 14" xfId="560"/>
    <cellStyle name="Heading 2 15" xfId="561"/>
    <cellStyle name="Heading 2 16" xfId="562"/>
    <cellStyle name="Heading 2 2" xfId="563"/>
    <cellStyle name="Heading 2 3" xfId="564"/>
    <cellStyle name="Heading 2 4" xfId="565"/>
    <cellStyle name="Heading 2 5" xfId="566"/>
    <cellStyle name="Heading 2 6" xfId="567"/>
    <cellStyle name="Heading 2 7" xfId="568"/>
    <cellStyle name="Heading 2 8" xfId="569"/>
    <cellStyle name="Heading 2 9" xfId="570"/>
    <cellStyle name="Heading 3 10" xfId="571"/>
    <cellStyle name="Heading 3 11" xfId="572"/>
    <cellStyle name="Heading 3 12" xfId="573"/>
    <cellStyle name="Heading 3 13" xfId="574"/>
    <cellStyle name="Heading 3 14" xfId="575"/>
    <cellStyle name="Heading 3 15" xfId="576"/>
    <cellStyle name="Heading 3 16" xfId="577"/>
    <cellStyle name="Heading 3 2" xfId="578"/>
    <cellStyle name="Heading 3 3" xfId="579"/>
    <cellStyle name="Heading 3 4" xfId="580"/>
    <cellStyle name="Heading 3 5" xfId="581"/>
    <cellStyle name="Heading 3 6" xfId="582"/>
    <cellStyle name="Heading 3 7" xfId="583"/>
    <cellStyle name="Heading 3 8" xfId="584"/>
    <cellStyle name="Heading 3 9" xfId="585"/>
    <cellStyle name="Heading 4 10" xfId="586"/>
    <cellStyle name="Heading 4 11" xfId="587"/>
    <cellStyle name="Heading 4 12" xfId="588"/>
    <cellStyle name="Heading 4 13" xfId="589"/>
    <cellStyle name="Heading 4 14" xfId="590"/>
    <cellStyle name="Heading 4 15" xfId="591"/>
    <cellStyle name="Heading 4 16" xfId="592"/>
    <cellStyle name="Heading 4 2" xfId="593"/>
    <cellStyle name="Heading 4 3" xfId="594"/>
    <cellStyle name="Heading 4 4" xfId="595"/>
    <cellStyle name="Heading 4 5" xfId="596"/>
    <cellStyle name="Heading 4 6" xfId="597"/>
    <cellStyle name="Heading 4 7" xfId="598"/>
    <cellStyle name="Heading 4 8" xfId="599"/>
    <cellStyle name="Heading 4 9" xfId="600"/>
    <cellStyle name="Input 10" xfId="601"/>
    <cellStyle name="Input 11" xfId="602"/>
    <cellStyle name="Input 12" xfId="603"/>
    <cellStyle name="Input 13" xfId="604"/>
    <cellStyle name="Input 14" xfId="605"/>
    <cellStyle name="Input 15" xfId="606"/>
    <cellStyle name="Input 16" xfId="607"/>
    <cellStyle name="Input 2" xfId="608"/>
    <cellStyle name="Input 3" xfId="609"/>
    <cellStyle name="Input 4" xfId="610"/>
    <cellStyle name="Input 5" xfId="611"/>
    <cellStyle name="Input 6" xfId="612"/>
    <cellStyle name="Input 7" xfId="613"/>
    <cellStyle name="Input 8" xfId="614"/>
    <cellStyle name="Input 9" xfId="615"/>
    <cellStyle name="Linked Cell 10" xfId="616"/>
    <cellStyle name="Linked Cell 11" xfId="617"/>
    <cellStyle name="Linked Cell 12" xfId="618"/>
    <cellStyle name="Linked Cell 13" xfId="619"/>
    <cellStyle name="Linked Cell 14" xfId="620"/>
    <cellStyle name="Linked Cell 15" xfId="621"/>
    <cellStyle name="Linked Cell 16" xfId="622"/>
    <cellStyle name="Linked Cell 2" xfId="623"/>
    <cellStyle name="Linked Cell 3" xfId="624"/>
    <cellStyle name="Linked Cell 4" xfId="625"/>
    <cellStyle name="Linked Cell 5" xfId="626"/>
    <cellStyle name="Linked Cell 6" xfId="627"/>
    <cellStyle name="Linked Cell 7" xfId="628"/>
    <cellStyle name="Linked Cell 8" xfId="629"/>
    <cellStyle name="Linked Cell 9" xfId="630"/>
    <cellStyle name="Neutral 10" xfId="631"/>
    <cellStyle name="Neutral 11" xfId="632"/>
    <cellStyle name="Neutral 12" xfId="633"/>
    <cellStyle name="Neutral 13" xfId="634"/>
    <cellStyle name="Neutral 14" xfId="635"/>
    <cellStyle name="Neutral 15" xfId="636"/>
    <cellStyle name="Neutral 16" xfId="637"/>
    <cellStyle name="Neutral 2" xfId="638"/>
    <cellStyle name="Neutral 3" xfId="639"/>
    <cellStyle name="Neutral 4" xfId="640"/>
    <cellStyle name="Neutral 5" xfId="641"/>
    <cellStyle name="Neutral 6" xfId="642"/>
    <cellStyle name="Neutral 7" xfId="643"/>
    <cellStyle name="Neutral 8" xfId="644"/>
    <cellStyle name="Neutral 9" xfId="645"/>
    <cellStyle name="Normal" xfId="0" builtinId="0"/>
    <cellStyle name="Normal 10" xfId="646"/>
    <cellStyle name="Normal 11" xfId="647"/>
    <cellStyle name="Normal 12" xfId="648"/>
    <cellStyle name="Normal 13" xfId="649"/>
    <cellStyle name="Normal 14" xfId="12"/>
    <cellStyle name="Normal 15" xfId="650"/>
    <cellStyle name="Normal 16" xfId="651"/>
    <cellStyle name="Normal 17" xfId="652"/>
    <cellStyle name="Normal 18" xfId="653"/>
    <cellStyle name="Normal 19" xfId="654"/>
    <cellStyle name="Normal 2" xfId="5"/>
    <cellStyle name="Normal 2 10" xfId="655"/>
    <cellStyle name="Normal 2 11" xfId="656"/>
    <cellStyle name="Normal 2 12" xfId="657"/>
    <cellStyle name="Normal 2 13" xfId="658"/>
    <cellStyle name="Normal 2 14" xfId="659"/>
    <cellStyle name="Normal 2 15" xfId="660"/>
    <cellStyle name="Normal 2 16" xfId="661"/>
    <cellStyle name="Normal 2 19" xfId="848"/>
    <cellStyle name="Normal 2 2" xfId="662"/>
    <cellStyle name="Normal 2 3" xfId="663"/>
    <cellStyle name="Normal 2 4" xfId="664"/>
    <cellStyle name="Normal 2 5" xfId="665"/>
    <cellStyle name="Normal 2 6" xfId="666"/>
    <cellStyle name="Normal 2 7" xfId="667"/>
    <cellStyle name="Normal 2 8" xfId="668"/>
    <cellStyle name="Normal 2 9" xfId="669"/>
    <cellStyle name="Normal 2_LGEElecBillingDeterminants2009-10" xfId="670"/>
    <cellStyle name="Normal 20" xfId="671"/>
    <cellStyle name="Normal 21" xfId="672"/>
    <cellStyle name="Normal 22" xfId="673"/>
    <cellStyle name="Normal 23" xfId="674"/>
    <cellStyle name="Normal 3" xfId="2"/>
    <cellStyle name="Normal 3 10" xfId="675"/>
    <cellStyle name="Normal 3 11" xfId="676"/>
    <cellStyle name="Normal 3 12" xfId="677"/>
    <cellStyle name="Normal 3 13" xfId="678"/>
    <cellStyle name="Normal 3 14" xfId="679"/>
    <cellStyle name="Normal 3 15" xfId="680"/>
    <cellStyle name="Normal 3 16" xfId="681"/>
    <cellStyle name="Normal 3 17" xfId="845"/>
    <cellStyle name="Normal 3 2" xfId="682"/>
    <cellStyle name="Normal 3 3" xfId="683"/>
    <cellStyle name="Normal 3 4" xfId="684"/>
    <cellStyle name="Normal 3 5" xfId="685"/>
    <cellStyle name="Normal 3 6" xfId="686"/>
    <cellStyle name="Normal 3 7" xfId="687"/>
    <cellStyle name="Normal 3 8" xfId="688"/>
    <cellStyle name="Normal 3 9" xfId="689"/>
    <cellStyle name="Normal 3_LGEElecBillingDeterminants2009-10" xfId="690"/>
    <cellStyle name="Normal 4" xfId="7"/>
    <cellStyle name="Normal 4 2" xfId="691"/>
    <cellStyle name="Normal 4 3" xfId="692"/>
    <cellStyle name="Normal 4_Regenerated Revenues LGE Gas 10312009" xfId="693"/>
    <cellStyle name="Normal 5" xfId="11"/>
    <cellStyle name="Normal 5 2" xfId="694"/>
    <cellStyle name="Normal 5 3" xfId="695"/>
    <cellStyle name="Normal 6" xfId="696"/>
    <cellStyle name="Normal 6 2" xfId="697"/>
    <cellStyle name="Normal 6 3" xfId="698"/>
    <cellStyle name="Normal 7" xfId="699"/>
    <cellStyle name="Normal 7 2" xfId="700"/>
    <cellStyle name="Normal 7 3" xfId="701"/>
    <cellStyle name="Normal 8" xfId="702"/>
    <cellStyle name="Normal 8 2" xfId="703"/>
    <cellStyle name="Normal 8 3" xfId="704"/>
    <cellStyle name="Normal 9" xfId="705"/>
    <cellStyle name="Normal 9 2" xfId="706"/>
    <cellStyle name="Normal 9 3" xfId="707"/>
    <cellStyle name="Normal_LGE Filed Test Period Billing Exhibits - SBR Summary" xfId="847"/>
    <cellStyle name="Normal_Regenerated Revenues LGE Gas 2008-04 with Elec Gen-Seelye final version " xfId="844"/>
    <cellStyle name="Note 10" xfId="708"/>
    <cellStyle name="Note 11" xfId="709"/>
    <cellStyle name="Note 12" xfId="710"/>
    <cellStyle name="Note 13" xfId="711"/>
    <cellStyle name="Note 14" xfId="712"/>
    <cellStyle name="Note 2" xfId="713"/>
    <cellStyle name="Note 2 2" xfId="714"/>
    <cellStyle name="Note 2 3" xfId="715"/>
    <cellStyle name="Note 3" xfId="716"/>
    <cellStyle name="Note 3 2" xfId="717"/>
    <cellStyle name="Note 3 3" xfId="718"/>
    <cellStyle name="Note 4" xfId="719"/>
    <cellStyle name="Note 4 2" xfId="720"/>
    <cellStyle name="Note 4 3" xfId="721"/>
    <cellStyle name="Note 5" xfId="722"/>
    <cellStyle name="Note 5 2" xfId="723"/>
    <cellStyle name="Note 5 3" xfId="724"/>
    <cellStyle name="Note 6" xfId="725"/>
    <cellStyle name="Note 6 2" xfId="726"/>
    <cellStyle name="Note 6 3" xfId="727"/>
    <cellStyle name="Note 7" xfId="728"/>
    <cellStyle name="Note 7 2" xfId="729"/>
    <cellStyle name="Note 7 3" xfId="730"/>
    <cellStyle name="Note 8" xfId="731"/>
    <cellStyle name="Note 8 2" xfId="732"/>
    <cellStyle name="Note 8 3" xfId="733"/>
    <cellStyle name="Note 9" xfId="734"/>
    <cellStyle name="Output 10" xfId="735"/>
    <cellStyle name="Output 11" xfId="736"/>
    <cellStyle name="Output 12" xfId="737"/>
    <cellStyle name="Output 13" xfId="738"/>
    <cellStyle name="Output 14" xfId="739"/>
    <cellStyle name="Output 15" xfId="740"/>
    <cellStyle name="Output 16" xfId="741"/>
    <cellStyle name="Output 2" xfId="742"/>
    <cellStyle name="Output 3" xfId="743"/>
    <cellStyle name="Output 4" xfId="744"/>
    <cellStyle name="Output 5" xfId="745"/>
    <cellStyle name="Output 6" xfId="746"/>
    <cellStyle name="Output 7" xfId="747"/>
    <cellStyle name="Output 8" xfId="748"/>
    <cellStyle name="Output 9" xfId="749"/>
    <cellStyle name="Output Amounts" xfId="750"/>
    <cellStyle name="Output Column Headings" xfId="751"/>
    <cellStyle name="Output Column Headings 2" xfId="752"/>
    <cellStyle name="Output Column Headings 3" xfId="753"/>
    <cellStyle name="Output Column Headings 4" xfId="754"/>
    <cellStyle name="Output Column Headings 5" xfId="755"/>
    <cellStyle name="Output Column Headings 6" xfId="756"/>
    <cellStyle name="Output Column Headings 7" xfId="757"/>
    <cellStyle name="Output Column Headings 8" xfId="758"/>
    <cellStyle name="Output Column Headings 9" xfId="759"/>
    <cellStyle name="Output Column Headings_Regenerated Revenues LGE Gas 2008-04 with Elec Gen-Seelye final version " xfId="760"/>
    <cellStyle name="Output Line Items" xfId="761"/>
    <cellStyle name="Output Line Items 2" xfId="762"/>
    <cellStyle name="Output Line Items 3" xfId="763"/>
    <cellStyle name="Output Line Items 4" xfId="764"/>
    <cellStyle name="Output Line Items 5" xfId="765"/>
    <cellStyle name="Output Line Items 6" xfId="766"/>
    <cellStyle name="Output Line Items 7" xfId="767"/>
    <cellStyle name="Output Line Items 8" xfId="768"/>
    <cellStyle name="Output Line Items 9" xfId="769"/>
    <cellStyle name="Output Line Items_Regenerated Revenues LGE Gas 2008-04 with Elec Gen-Seelye final version " xfId="770"/>
    <cellStyle name="Output Report Heading" xfId="771"/>
    <cellStyle name="Output Report Heading 2" xfId="772"/>
    <cellStyle name="Output Report Heading 3" xfId="773"/>
    <cellStyle name="Output Report Heading 4" xfId="774"/>
    <cellStyle name="Output Report Heading 5" xfId="775"/>
    <cellStyle name="Output Report Heading 6" xfId="776"/>
    <cellStyle name="Output Report Heading 7" xfId="777"/>
    <cellStyle name="Output Report Heading 8" xfId="778"/>
    <cellStyle name="Output Report Heading 9" xfId="779"/>
    <cellStyle name="Output Report Heading_Regenerated Revenues LGE Gas 2008-04 with Elec Gen-Seelye final version " xfId="780"/>
    <cellStyle name="Output Report Title" xfId="781"/>
    <cellStyle name="Output Report Title 2" xfId="782"/>
    <cellStyle name="Output Report Title 3" xfId="783"/>
    <cellStyle name="Output Report Title 4" xfId="784"/>
    <cellStyle name="Output Report Title 5" xfId="785"/>
    <cellStyle name="Output Report Title 6" xfId="786"/>
    <cellStyle name="Output Report Title 7" xfId="787"/>
    <cellStyle name="Output Report Title 8" xfId="788"/>
    <cellStyle name="Output Report Title 9" xfId="789"/>
    <cellStyle name="Output Report Title_Regenerated Revenues LGE Gas 2008-04 with Elec Gen-Seelye final version " xfId="790"/>
    <cellStyle name="Percent" xfId="10" builtinId="5"/>
    <cellStyle name="Percent 2" xfId="8"/>
    <cellStyle name="Percent 3" xfId="791"/>
    <cellStyle name="STYL5 - Style5" xfId="792"/>
    <cellStyle name="STYL6 - Style6" xfId="793"/>
    <cellStyle name="STYLE1 - Style1" xfId="794"/>
    <cellStyle name="STYLE2 - Style2" xfId="795"/>
    <cellStyle name="STYLE3 - Style3" xfId="796"/>
    <cellStyle name="STYLE4 - Style4" xfId="797"/>
    <cellStyle name="Title 10" xfId="798"/>
    <cellStyle name="Title 11" xfId="799"/>
    <cellStyle name="Title 12" xfId="800"/>
    <cellStyle name="Title 13" xfId="801"/>
    <cellStyle name="Title 14" xfId="802"/>
    <cellStyle name="Title 15" xfId="803"/>
    <cellStyle name="Title 16" xfId="804"/>
    <cellStyle name="Title 2" xfId="805"/>
    <cellStyle name="Title 3" xfId="806"/>
    <cellStyle name="Title 4" xfId="807"/>
    <cellStyle name="Title 5" xfId="808"/>
    <cellStyle name="Title 6" xfId="809"/>
    <cellStyle name="Title 7" xfId="810"/>
    <cellStyle name="Title 8" xfId="811"/>
    <cellStyle name="Title 9" xfId="812"/>
    <cellStyle name="Total 10" xfId="813"/>
    <cellStyle name="Total 11" xfId="814"/>
    <cellStyle name="Total 12" xfId="815"/>
    <cellStyle name="Total 13" xfId="816"/>
    <cellStyle name="Total 14" xfId="817"/>
    <cellStyle name="Total 15" xfId="818"/>
    <cellStyle name="Total 16" xfId="819"/>
    <cellStyle name="Total 2" xfId="820"/>
    <cellStyle name="Total 3" xfId="821"/>
    <cellStyle name="Total 4" xfId="822"/>
    <cellStyle name="Total 5" xfId="823"/>
    <cellStyle name="Total 6" xfId="824"/>
    <cellStyle name="Total 7" xfId="825"/>
    <cellStyle name="Total 8" xfId="826"/>
    <cellStyle name="Total 9" xfId="827"/>
    <cellStyle name="Warning Text 10" xfId="828"/>
    <cellStyle name="Warning Text 11" xfId="829"/>
    <cellStyle name="Warning Text 12" xfId="830"/>
    <cellStyle name="Warning Text 13" xfId="831"/>
    <cellStyle name="Warning Text 14" xfId="832"/>
    <cellStyle name="Warning Text 15" xfId="833"/>
    <cellStyle name="Warning Text 16" xfId="834"/>
    <cellStyle name="Warning Text 2" xfId="835"/>
    <cellStyle name="Warning Text 3" xfId="836"/>
    <cellStyle name="Warning Text 4" xfId="837"/>
    <cellStyle name="Warning Text 5" xfId="838"/>
    <cellStyle name="Warning Text 6" xfId="839"/>
    <cellStyle name="Warning Text 7" xfId="840"/>
    <cellStyle name="Warning Text 8" xfId="841"/>
    <cellStyle name="Warning Text 9" xfId="842"/>
  </cellStyles>
  <dxfs count="0"/>
  <tableStyles count="0" defaultTableStyle="TableStyleMedium9" defaultPivotStyle="PivotStyleLight16"/>
  <colors>
    <mruColors>
      <color rgb="FFFFFF99"/>
      <color rgb="FFFFFF00"/>
      <color rgb="FFFFFFCC"/>
      <color rgb="FFCCFFCC"/>
      <color rgb="FFFFCC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ojects.sp.lgeenergy.int/Revenue%20Volume%20Analysis%20Reports/2016/Revenue%20Volume%20Analysis%202016-06.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Home"/>
      <sheetName val="PVA"/>
      <sheetName val="RBC Summary"/>
      <sheetName val="RBC Detail"/>
      <sheetName val="Information for SEC Table"/>
      <sheetName val="A216810396964DCDB399904ED81BA8E"/>
      <sheetName val="Curr Mo. Error Checks"/>
      <sheetName val="Qtd Error Checks"/>
      <sheetName val="Ytd Error Checks"/>
      <sheetName val="12 Mo. Ending error checks"/>
      <sheetName val="Weather Check"/>
      <sheetName val="DataChecks"/>
      <sheetName val="PVA - Variance Checks"/>
      <sheetName val="Data"/>
      <sheetName val="ListsValues"/>
      <sheetName val="Weather Summary"/>
      <sheetName val="Electronic Evidence"/>
      <sheetName val="VersionH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9">
          <cell r="M29">
            <v>1</v>
          </cell>
        </row>
      </sheetData>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25"/>
  <sheetViews>
    <sheetView tabSelected="1" view="pageBreakPreview" zoomScale="60" zoomScaleNormal="100" workbookViewId="0">
      <selection sqref="A1:L1"/>
    </sheetView>
  </sheetViews>
  <sheetFormatPr defaultColWidth="9.140625" defaultRowHeight="15" x14ac:dyDescent="0.25"/>
  <cols>
    <col min="1" max="1" width="11" style="1" customWidth="1"/>
    <col min="2" max="2" width="11.140625" style="1" customWidth="1"/>
    <col min="3" max="7" width="9.140625" style="1"/>
    <col min="8" max="8" width="15.140625" style="1" customWidth="1"/>
    <col min="9" max="16384" width="9.140625" style="1"/>
  </cols>
  <sheetData>
    <row r="1" spans="1:12" x14ac:dyDescent="0.25">
      <c r="A1" s="233" t="s">
        <v>43</v>
      </c>
      <c r="B1" s="233"/>
      <c r="C1" s="233"/>
      <c r="D1" s="233"/>
      <c r="E1" s="233"/>
      <c r="F1" s="233"/>
      <c r="G1" s="233"/>
      <c r="H1" s="233"/>
      <c r="I1" s="233"/>
      <c r="J1" s="233"/>
      <c r="K1" s="233"/>
      <c r="L1" s="233"/>
    </row>
    <row r="3" spans="1:12" x14ac:dyDescent="0.25">
      <c r="A3" s="233" t="s">
        <v>61</v>
      </c>
      <c r="B3" s="233"/>
      <c r="C3" s="233"/>
      <c r="D3" s="233"/>
      <c r="E3" s="233"/>
      <c r="F3" s="233"/>
      <c r="G3" s="233"/>
      <c r="H3" s="233"/>
      <c r="I3" s="233"/>
      <c r="J3" s="233"/>
      <c r="K3" s="233"/>
      <c r="L3" s="233"/>
    </row>
    <row r="5" spans="1:12" x14ac:dyDescent="0.25">
      <c r="A5" s="233" t="s">
        <v>11</v>
      </c>
      <c r="B5" s="233"/>
      <c r="C5" s="233"/>
      <c r="D5" s="233"/>
      <c r="E5" s="233"/>
      <c r="F5" s="233"/>
      <c r="G5" s="233"/>
      <c r="H5" s="233"/>
      <c r="I5" s="233"/>
      <c r="J5" s="233"/>
      <c r="K5" s="233"/>
      <c r="L5" s="233"/>
    </row>
    <row r="7" spans="1:12" x14ac:dyDescent="0.25">
      <c r="A7" s="233" t="s">
        <v>141</v>
      </c>
      <c r="B7" s="233"/>
      <c r="C7" s="233"/>
      <c r="D7" s="233"/>
      <c r="E7" s="233"/>
      <c r="F7" s="233"/>
      <c r="G7" s="233"/>
      <c r="H7" s="233"/>
      <c r="I7" s="233"/>
      <c r="J7" s="233"/>
      <c r="K7" s="233"/>
      <c r="L7" s="233"/>
    </row>
    <row r="8" spans="1:12" x14ac:dyDescent="0.25">
      <c r="A8" s="2"/>
      <c r="B8" s="2"/>
      <c r="C8" s="2"/>
      <c r="D8" s="2"/>
      <c r="E8" s="2"/>
      <c r="F8" s="2"/>
      <c r="G8" s="2"/>
      <c r="H8" s="2"/>
    </row>
    <row r="9" spans="1:12" x14ac:dyDescent="0.25">
      <c r="A9" s="2"/>
      <c r="B9" s="2"/>
      <c r="C9" s="2"/>
      <c r="D9" s="2"/>
      <c r="E9" s="2"/>
      <c r="F9" s="2"/>
      <c r="G9" s="2"/>
      <c r="H9" s="2"/>
    </row>
    <row r="10" spans="1:12" x14ac:dyDescent="0.25">
      <c r="A10" s="2"/>
      <c r="B10" s="2"/>
      <c r="C10" s="2"/>
      <c r="D10" s="2"/>
      <c r="E10" s="2"/>
      <c r="F10" s="2"/>
      <c r="G10" s="2"/>
      <c r="H10" s="2"/>
    </row>
    <row r="11" spans="1:12" x14ac:dyDescent="0.25">
      <c r="A11" s="10" t="s">
        <v>44</v>
      </c>
      <c r="B11" s="2"/>
      <c r="C11" s="2"/>
      <c r="D11" s="10" t="s">
        <v>114</v>
      </c>
      <c r="E11" s="2"/>
      <c r="F11" s="2"/>
      <c r="G11" s="2"/>
      <c r="H11" s="2"/>
    </row>
    <row r="13" spans="1:12" x14ac:dyDescent="0.25">
      <c r="A13" s="11" t="s">
        <v>45</v>
      </c>
      <c r="D13" s="11" t="s">
        <v>116</v>
      </c>
    </row>
    <row r="16" spans="1:12" x14ac:dyDescent="0.25">
      <c r="A16" s="12" t="s">
        <v>46</v>
      </c>
      <c r="C16" s="238" t="s">
        <v>47</v>
      </c>
      <c r="D16" s="238"/>
      <c r="E16" s="238"/>
      <c r="F16" s="238"/>
      <c r="G16" s="238"/>
      <c r="H16" s="238"/>
      <c r="I16" s="238"/>
      <c r="J16" s="238"/>
    </row>
    <row r="18" spans="1:3" x14ac:dyDescent="0.25">
      <c r="C18" s="11"/>
    </row>
    <row r="19" spans="1:3" x14ac:dyDescent="0.25">
      <c r="A19" s="11" t="s">
        <v>62</v>
      </c>
      <c r="C19" s="11" t="s">
        <v>91</v>
      </c>
    </row>
    <row r="20" spans="1:3" x14ac:dyDescent="0.25">
      <c r="A20" s="11" t="s">
        <v>63</v>
      </c>
      <c r="C20" s="11" t="s">
        <v>92</v>
      </c>
    </row>
    <row r="21" spans="1:3" x14ac:dyDescent="0.25">
      <c r="A21" s="11" t="s">
        <v>64</v>
      </c>
      <c r="B21" s="11" t="s">
        <v>48</v>
      </c>
      <c r="C21" s="11" t="s">
        <v>93</v>
      </c>
    </row>
    <row r="22" spans="1:3" x14ac:dyDescent="0.25">
      <c r="A22" s="11" t="s">
        <v>64</v>
      </c>
      <c r="B22" s="11" t="s">
        <v>172</v>
      </c>
      <c r="C22" s="11" t="s">
        <v>94</v>
      </c>
    </row>
    <row r="24" spans="1:3" x14ac:dyDescent="0.25">
      <c r="C24" s="13"/>
    </row>
    <row r="25" spans="1:3" x14ac:dyDescent="0.25">
      <c r="C25" s="13"/>
    </row>
  </sheetData>
  <mergeCells count="5">
    <mergeCell ref="C16:J16"/>
    <mergeCell ref="A1:L1"/>
    <mergeCell ref="A3:L3"/>
    <mergeCell ref="A5:L5"/>
    <mergeCell ref="A7:L7"/>
  </mergeCells>
  <printOptions horizontalCentered="1"/>
  <pageMargins left="0.75" right="0.75" top="0.75" bottom="0.5" header="0.25" footer="0.25"/>
  <pageSetup scale="7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I61"/>
  <sheetViews>
    <sheetView view="pageBreakPreview" zoomScale="70" zoomScaleNormal="100" zoomScaleSheetLayoutView="70" workbookViewId="0">
      <selection sqref="A1:F1"/>
    </sheetView>
  </sheetViews>
  <sheetFormatPr defaultColWidth="9.140625" defaultRowHeight="15.75" x14ac:dyDescent="0.25"/>
  <cols>
    <col min="1" max="1" width="65.140625" style="5" customWidth="1"/>
    <col min="2" max="2" width="20.7109375" style="5" customWidth="1"/>
    <col min="3" max="3" width="22.7109375" style="5" customWidth="1"/>
    <col min="4" max="4" width="19.140625" style="5" customWidth="1"/>
    <col min="5" max="5" width="3.85546875" style="5" customWidth="1"/>
    <col min="6" max="6" width="15" style="5" bestFit="1" customWidth="1"/>
    <col min="7" max="7" width="9.140625" style="5"/>
    <col min="8" max="8" width="16.28515625" style="5" bestFit="1" customWidth="1"/>
    <col min="9" max="16384" width="9.140625" style="5"/>
  </cols>
  <sheetData>
    <row r="1" spans="1:7" x14ac:dyDescent="0.25">
      <c r="A1" s="233" t="str">
        <f>Index!A5</f>
        <v>LOUISVILLE GAS AND ELECTRIC COMPANY</v>
      </c>
      <c r="B1" s="234"/>
      <c r="C1" s="234"/>
      <c r="D1" s="234"/>
      <c r="E1" s="234"/>
      <c r="F1" s="234"/>
    </row>
    <row r="2" spans="1:7" x14ac:dyDescent="0.25">
      <c r="A2" s="234" t="str">
        <f>Index!A7</f>
        <v>CASE NO. 2018-00295</v>
      </c>
      <c r="B2" s="234"/>
      <c r="C2" s="234"/>
      <c r="D2" s="234"/>
      <c r="E2" s="234"/>
      <c r="F2" s="234"/>
    </row>
    <row r="3" spans="1:7" x14ac:dyDescent="0.25">
      <c r="A3" s="234" t="str">
        <f>Index!C19</f>
        <v>Forecast Period Revenues at Current and Proposed Gas Rates</v>
      </c>
      <c r="B3" s="234"/>
      <c r="C3" s="234"/>
      <c r="D3" s="234"/>
      <c r="E3" s="234"/>
      <c r="F3" s="234"/>
    </row>
    <row r="4" spans="1:7" x14ac:dyDescent="0.25">
      <c r="A4" s="234" t="str">
        <f>Index!D13</f>
        <v>For the 12 Months Ended April 30, 2020</v>
      </c>
      <c r="B4" s="234"/>
      <c r="C4" s="234"/>
      <c r="D4" s="234"/>
      <c r="E4" s="234"/>
      <c r="F4" s="234"/>
    </row>
    <row r="5" spans="1:7" x14ac:dyDescent="0.25">
      <c r="A5" s="233" t="s">
        <v>95</v>
      </c>
      <c r="B5" s="233"/>
      <c r="C5" s="233"/>
      <c r="D5" s="233"/>
      <c r="E5" s="233"/>
      <c r="F5" s="233"/>
      <c r="G5" s="183"/>
    </row>
    <row r="10" spans="1:7" x14ac:dyDescent="0.25">
      <c r="A10" s="213" t="s">
        <v>65</v>
      </c>
      <c r="B10" s="184"/>
      <c r="C10" s="184"/>
      <c r="D10" s="184"/>
      <c r="E10" s="184"/>
      <c r="F10" s="185" t="s">
        <v>176</v>
      </c>
    </row>
    <row r="11" spans="1:7" x14ac:dyDescent="0.25">
      <c r="A11" s="184" t="s">
        <v>36</v>
      </c>
      <c r="B11" s="184"/>
      <c r="C11" s="184"/>
      <c r="D11" s="184"/>
      <c r="E11" s="184"/>
      <c r="F11" s="185"/>
    </row>
    <row r="12" spans="1:7" x14ac:dyDescent="0.25">
      <c r="A12" s="184" t="s">
        <v>37</v>
      </c>
      <c r="B12" s="184"/>
      <c r="C12" s="184"/>
      <c r="D12" s="184"/>
      <c r="E12" s="184"/>
      <c r="F12" s="126"/>
    </row>
    <row r="13" spans="1:7" x14ac:dyDescent="0.25">
      <c r="A13" s="184"/>
      <c r="B13" s="184"/>
      <c r="C13" s="184"/>
      <c r="D13" s="184"/>
      <c r="E13" s="184"/>
      <c r="F13" s="185"/>
    </row>
    <row r="14" spans="1:7" ht="48" thickBot="1" x14ac:dyDescent="0.3">
      <c r="A14" s="186" t="s">
        <v>7</v>
      </c>
      <c r="B14" s="187" t="s">
        <v>49</v>
      </c>
      <c r="C14" s="187" t="s">
        <v>175</v>
      </c>
      <c r="D14" s="188" t="s">
        <v>75</v>
      </c>
      <c r="E14" s="188"/>
      <c r="F14" s="188" t="s">
        <v>76</v>
      </c>
    </row>
    <row r="15" spans="1:7" x14ac:dyDescent="0.25">
      <c r="A15" s="189"/>
      <c r="B15" s="189"/>
      <c r="C15" s="189"/>
      <c r="D15" s="189"/>
      <c r="E15" s="189"/>
      <c r="F15" s="189"/>
    </row>
    <row r="16" spans="1:7" x14ac:dyDescent="0.25">
      <c r="A16" s="154" t="s">
        <v>123</v>
      </c>
      <c r="B16" s="190">
        <f>'Stipulation Sch M-2.2-G'!E13</f>
        <v>217967718.12771013</v>
      </c>
      <c r="C16" s="190">
        <f>'Stipulation Sch M-2.2-G'!H13</f>
        <v>231709318.53573403</v>
      </c>
      <c r="D16" s="190">
        <f>C16-B16</f>
        <v>13741600.408023894</v>
      </c>
      <c r="E16" s="190"/>
      <c r="F16" s="191">
        <f>D16/B16</f>
        <v>6.3044199967136921E-2</v>
      </c>
    </row>
    <row r="17" spans="1:8" x14ac:dyDescent="0.25">
      <c r="A17" s="154"/>
      <c r="B17" s="190"/>
      <c r="C17" s="190"/>
      <c r="D17" s="190"/>
      <c r="E17" s="190"/>
      <c r="F17" s="191"/>
    </row>
    <row r="18" spans="1:8" x14ac:dyDescent="0.25">
      <c r="A18" s="154" t="s">
        <v>50</v>
      </c>
      <c r="B18" s="190">
        <f>'Stipulation Sch M-2.2-G'!E15</f>
        <v>90494240.651483163</v>
      </c>
      <c r="C18" s="190">
        <f>'Stipulation Sch M-2.2-G'!H15</f>
        <v>96197943.539010197</v>
      </c>
      <c r="D18" s="190">
        <f>C18-B18</f>
        <v>5703702.8875270337</v>
      </c>
      <c r="E18" s="190"/>
      <c r="F18" s="191">
        <f>D18/B18</f>
        <v>6.3028352373202132E-2</v>
      </c>
    </row>
    <row r="19" spans="1:8" x14ac:dyDescent="0.25">
      <c r="A19" s="154"/>
      <c r="B19" s="190"/>
      <c r="C19" s="190"/>
      <c r="D19" s="190"/>
      <c r="E19" s="190"/>
      <c r="F19" s="191"/>
    </row>
    <row r="20" spans="1:8" x14ac:dyDescent="0.25">
      <c r="A20" s="154" t="s">
        <v>51</v>
      </c>
      <c r="B20" s="190">
        <f>'Stipulation Sch M-2.2-G'!E17</f>
        <v>10967358.877135254</v>
      </c>
      <c r="C20" s="190">
        <f>'Stipulation Sch M-2.2-G'!H17</f>
        <v>10967284.739635253</v>
      </c>
      <c r="D20" s="190">
        <f t="shared" ref="D20:D34" si="0">C20-B20</f>
        <v>-74.137500001117587</v>
      </c>
      <c r="E20" s="190"/>
      <c r="F20" s="191">
        <f t="shared" ref="F20:F36" si="1">D20/B20</f>
        <v>-6.7598316815983306E-6</v>
      </c>
      <c r="G20" s="58"/>
    </row>
    <row r="21" spans="1:8" x14ac:dyDescent="0.25">
      <c r="A21" s="154"/>
      <c r="B21" s="190"/>
      <c r="C21" s="190"/>
      <c r="D21" s="190"/>
      <c r="E21" s="190"/>
      <c r="F21" s="191"/>
    </row>
    <row r="22" spans="1:8" x14ac:dyDescent="0.25">
      <c r="A22" s="154" t="s">
        <v>14</v>
      </c>
      <c r="B22" s="190">
        <f>'Stipulation Sch M-2.2-G'!E19</f>
        <v>832734.57018943038</v>
      </c>
      <c r="C22" s="190">
        <f>'Stipulation Sch M-2.2-G'!H19</f>
        <v>832734.57018943038</v>
      </c>
      <c r="D22" s="190">
        <f t="shared" si="0"/>
        <v>0</v>
      </c>
      <c r="E22" s="190"/>
      <c r="F22" s="191">
        <f t="shared" si="1"/>
        <v>0</v>
      </c>
    </row>
    <row r="23" spans="1:8" x14ac:dyDescent="0.25">
      <c r="A23" s="154"/>
      <c r="B23" s="190"/>
      <c r="C23" s="190"/>
      <c r="D23" s="190"/>
      <c r="E23" s="190"/>
      <c r="F23" s="191"/>
    </row>
    <row r="24" spans="1:8" x14ac:dyDescent="0.25">
      <c r="A24" s="154" t="s">
        <v>53</v>
      </c>
      <c r="B24" s="190">
        <f>'Stipulation Sch M-2.2-G'!E21</f>
        <v>6552777.7692689793</v>
      </c>
      <c r="C24" s="190">
        <f>'Stipulation Sch M-2.2-G'!H21</f>
        <v>6552692.7436461346</v>
      </c>
      <c r="D24" s="190">
        <f>C24-B24</f>
        <v>-85.025622844696045</v>
      </c>
      <c r="E24" s="190"/>
      <c r="F24" s="191">
        <f>D24/B24</f>
        <v>-1.2975508378057113E-5</v>
      </c>
    </row>
    <row r="25" spans="1:8" x14ac:dyDescent="0.25">
      <c r="A25" s="154"/>
      <c r="B25" s="190"/>
      <c r="C25" s="190"/>
      <c r="D25" s="190"/>
      <c r="E25" s="190"/>
      <c r="F25" s="191"/>
    </row>
    <row r="26" spans="1:8" x14ac:dyDescent="0.25">
      <c r="A26" s="154" t="s">
        <v>52</v>
      </c>
      <c r="B26" s="190">
        <f>'Stipulation Sch M-2.2-G'!E23</f>
        <v>3766299.7771655498</v>
      </c>
      <c r="C26" s="190">
        <f>'Stipulation Sch M-2.2-G'!H23</f>
        <v>3766299.7771655498</v>
      </c>
      <c r="D26" s="190">
        <f>C26-B26</f>
        <v>0</v>
      </c>
      <c r="E26" s="190"/>
      <c r="F26" s="191">
        <f t="shared" si="1"/>
        <v>0</v>
      </c>
    </row>
    <row r="27" spans="1:8" x14ac:dyDescent="0.25">
      <c r="A27" s="154"/>
      <c r="B27" s="190"/>
      <c r="C27" s="190"/>
      <c r="D27" s="190"/>
      <c r="E27" s="190"/>
      <c r="F27" s="191"/>
    </row>
    <row r="28" spans="1:8" x14ac:dyDescent="0.25">
      <c r="A28" s="154" t="s">
        <v>54</v>
      </c>
      <c r="B28" s="192">
        <f>'Stipulation Sch M-2.2-G'!E25</f>
        <v>16523.84155477988</v>
      </c>
      <c r="C28" s="192">
        <f>'Stipulation Sch M-2.2-G'!H25</f>
        <v>16523.842015460272</v>
      </c>
      <c r="D28" s="192">
        <f t="shared" si="0"/>
        <v>4.6068039227975532E-4</v>
      </c>
      <c r="E28" s="192"/>
      <c r="F28" s="191">
        <f t="shared" si="1"/>
        <v>2.7879739148581555E-8</v>
      </c>
    </row>
    <row r="29" spans="1:8" x14ac:dyDescent="0.25">
      <c r="A29" s="154"/>
      <c r="B29" s="192"/>
      <c r="C29" s="192"/>
      <c r="D29" s="192"/>
      <c r="E29" s="192"/>
      <c r="F29" s="191"/>
      <c r="H29" s="228"/>
    </row>
    <row r="30" spans="1:8" x14ac:dyDescent="0.25">
      <c r="A30" s="154" t="s">
        <v>128</v>
      </c>
      <c r="B30" s="192">
        <f>'Stipulation Sch M-2.2-G'!E27</f>
        <v>43466.412737507228</v>
      </c>
      <c r="C30" s="192">
        <f>'Stipulation Sch M-2.2-G'!H27</f>
        <v>46227.342097488727</v>
      </c>
      <c r="D30" s="192">
        <f t="shared" si="0"/>
        <v>2760.9293599814991</v>
      </c>
      <c r="E30" s="192"/>
      <c r="F30" s="191">
        <f>IF(B30=0,0,D30/B30)</f>
        <v>6.3518684568121472E-2</v>
      </c>
      <c r="H30" s="58"/>
    </row>
    <row r="31" spans="1:8" x14ac:dyDescent="0.25">
      <c r="A31" s="154"/>
      <c r="B31" s="192"/>
      <c r="C31" s="192"/>
      <c r="D31" s="192"/>
      <c r="E31" s="192"/>
      <c r="F31" s="191"/>
      <c r="H31" s="120"/>
    </row>
    <row r="32" spans="1:8" x14ac:dyDescent="0.25">
      <c r="A32" s="154" t="s">
        <v>129</v>
      </c>
      <c r="B32" s="192">
        <f>'Stipulation Sch M-2.2-G'!E29</f>
        <v>0</v>
      </c>
      <c r="C32" s="192">
        <f>'Stipulation Sch M-2.2-G'!H29</f>
        <v>0</v>
      </c>
      <c r="D32" s="192">
        <f t="shared" si="0"/>
        <v>0</v>
      </c>
      <c r="E32" s="192"/>
      <c r="F32" s="191">
        <f>IF(B32=0,0,D32/B32)</f>
        <v>0</v>
      </c>
    </row>
    <row r="33" spans="1:9" x14ac:dyDescent="0.25">
      <c r="A33" s="154"/>
      <c r="B33" s="192"/>
      <c r="C33" s="192"/>
      <c r="D33" s="192"/>
      <c r="E33" s="192"/>
      <c r="F33" s="191"/>
    </row>
    <row r="34" spans="1:9" x14ac:dyDescent="0.25">
      <c r="A34" s="154" t="s">
        <v>130</v>
      </c>
      <c r="B34" s="192">
        <f>'Stipulation Sch M-2.2-G'!E31</f>
        <v>0</v>
      </c>
      <c r="C34" s="192">
        <f>'Stipulation Sch M-2.2-G'!H31</f>
        <v>0</v>
      </c>
      <c r="D34" s="192">
        <f t="shared" si="0"/>
        <v>0</v>
      </c>
      <c r="E34" s="192"/>
      <c r="F34" s="191">
        <f>IF(B34=0,0,D34/B34)</f>
        <v>0</v>
      </c>
    </row>
    <row r="35" spans="1:9" x14ac:dyDescent="0.25">
      <c r="A35" s="154"/>
      <c r="B35" s="192"/>
      <c r="C35" s="192"/>
      <c r="D35" s="192"/>
      <c r="E35" s="192"/>
      <c r="F35" s="193"/>
    </row>
    <row r="36" spans="1:9" x14ac:dyDescent="0.25">
      <c r="A36" s="194" t="s">
        <v>84</v>
      </c>
      <c r="B36" s="195">
        <f>SUM(B16:B34)</f>
        <v>330641120.02724475</v>
      </c>
      <c r="C36" s="195">
        <f>SUM(C16:C34)</f>
        <v>350089025.08949345</v>
      </c>
      <c r="D36" s="195">
        <f>SUM(D16:D34)</f>
        <v>19447905.06224874</v>
      </c>
      <c r="E36" s="195"/>
      <c r="F36" s="196">
        <f t="shared" si="1"/>
        <v>5.8818773238628753E-2</v>
      </c>
      <c r="H36" s="120"/>
    </row>
    <row r="37" spans="1:9" x14ac:dyDescent="0.25">
      <c r="H37" s="120"/>
      <c r="I37" s="120"/>
    </row>
    <row r="38" spans="1:9" x14ac:dyDescent="0.25">
      <c r="A38" s="154" t="s">
        <v>85</v>
      </c>
    </row>
    <row r="39" spans="1:9" ht="18" x14ac:dyDescent="0.4">
      <c r="A39" s="197" t="s">
        <v>160</v>
      </c>
      <c r="B39" s="165">
        <v>1065948.9200000004</v>
      </c>
      <c r="C39" s="165">
        <f>B39-97753.41</f>
        <v>968195.51000000036</v>
      </c>
      <c r="D39" s="190">
        <f>C39-B39</f>
        <v>-97753.410000000033</v>
      </c>
      <c r="E39" s="230" t="s">
        <v>173</v>
      </c>
      <c r="F39" s="191">
        <f>D39/B39</f>
        <v>-9.1705529379400283E-2</v>
      </c>
    </row>
    <row r="40" spans="1:9" x14ac:dyDescent="0.25">
      <c r="A40" s="197" t="s">
        <v>33</v>
      </c>
      <c r="B40" s="165">
        <v>90991.793333333335</v>
      </c>
      <c r="C40" s="165">
        <f>B40-20144</f>
        <v>70847.793333333335</v>
      </c>
      <c r="D40" s="190">
        <f t="shared" ref="D40:D42" si="2">C40-B40</f>
        <v>-20144</v>
      </c>
      <c r="E40" s="190"/>
      <c r="F40" s="191">
        <f t="shared" ref="F40:F42" si="3">D40/B40</f>
        <v>-0.22138260234311241</v>
      </c>
    </row>
    <row r="41" spans="1:9" x14ac:dyDescent="0.25">
      <c r="A41" s="197" t="s">
        <v>86</v>
      </c>
      <c r="B41" s="165">
        <v>374342.39</v>
      </c>
      <c r="C41" s="165">
        <f t="shared" ref="C41:C42" si="4">B41</f>
        <v>374342.39</v>
      </c>
      <c r="D41" s="190">
        <f t="shared" si="2"/>
        <v>0</v>
      </c>
      <c r="E41" s="190"/>
      <c r="F41" s="191">
        <f t="shared" si="3"/>
        <v>0</v>
      </c>
    </row>
    <row r="42" spans="1:9" x14ac:dyDescent="0.25">
      <c r="A42" s="197" t="s">
        <v>32</v>
      </c>
      <c r="B42" s="165">
        <v>325.85000000000042</v>
      </c>
      <c r="C42" s="165">
        <f t="shared" si="4"/>
        <v>325.85000000000042</v>
      </c>
      <c r="D42" s="190">
        <f t="shared" si="2"/>
        <v>0</v>
      </c>
      <c r="E42" s="190"/>
      <c r="F42" s="191">
        <f t="shared" si="3"/>
        <v>0</v>
      </c>
    </row>
    <row r="43" spans="1:9" x14ac:dyDescent="0.25">
      <c r="B43" s="58"/>
    </row>
    <row r="44" spans="1:9" ht="16.5" thickBot="1" x14ac:dyDescent="0.3">
      <c r="A44" s="194" t="s">
        <v>12</v>
      </c>
      <c r="B44" s="198">
        <f>SUM(B36:B42)</f>
        <v>332172728.98057812</v>
      </c>
      <c r="C44" s="198">
        <f t="shared" ref="C44:D44" si="5">SUM(C36:C42)</f>
        <v>351502736.63282681</v>
      </c>
      <c r="D44" s="198">
        <f t="shared" si="5"/>
        <v>19330007.65224874</v>
      </c>
      <c r="E44" s="198"/>
      <c r="F44" s="224">
        <f t="shared" ref="F44" si="6">D44/B44</f>
        <v>5.8192638846577167E-2</v>
      </c>
    </row>
    <row r="45" spans="1:9" ht="16.5" thickTop="1" x14ac:dyDescent="0.25">
      <c r="A45" s="194"/>
      <c r="B45" s="229"/>
      <c r="C45" s="229"/>
      <c r="D45" s="229"/>
      <c r="E45" s="229"/>
      <c r="F45" s="193"/>
    </row>
    <row r="46" spans="1:9" ht="47.25" customHeight="1" x14ac:dyDescent="0.25">
      <c r="A46" s="232" t="s">
        <v>174</v>
      </c>
      <c r="B46" s="232"/>
      <c r="C46" s="232"/>
      <c r="D46" s="232"/>
      <c r="E46" s="232"/>
      <c r="F46" s="232"/>
    </row>
    <row r="47" spans="1:9" x14ac:dyDescent="0.25">
      <c r="A47" s="231"/>
      <c r="B47" s="231"/>
      <c r="C47" s="231"/>
      <c r="D47" s="231"/>
      <c r="E47" s="231"/>
      <c r="F47" s="231"/>
    </row>
    <row r="48" spans="1:9" x14ac:dyDescent="0.25">
      <c r="A48" s="231"/>
      <c r="B48" s="231"/>
      <c r="C48" s="231"/>
      <c r="D48" s="231"/>
      <c r="E48" s="231"/>
      <c r="F48" s="231"/>
    </row>
    <row r="50" spans="2:6" x14ac:dyDescent="0.25">
      <c r="C50" s="214" t="s">
        <v>161</v>
      </c>
      <c r="D50" s="215">
        <v>24925739.168336518</v>
      </c>
      <c r="E50" s="215"/>
      <c r="F50" s="58"/>
    </row>
    <row r="51" spans="2:6" x14ac:dyDescent="0.25">
      <c r="C51" s="214" t="s">
        <v>162</v>
      </c>
      <c r="D51" s="216">
        <v>25043636.578336518</v>
      </c>
      <c r="E51" s="216"/>
    </row>
    <row r="52" spans="2:6" x14ac:dyDescent="0.25">
      <c r="D52" s="60">
        <f>D36-D51</f>
        <v>-5595731.5160877779</v>
      </c>
      <c r="E52" s="60"/>
    </row>
    <row r="54" spans="2:6" ht="18" x14ac:dyDescent="0.4">
      <c r="B54" s="218" t="s">
        <v>166</v>
      </c>
      <c r="C54" s="125"/>
      <c r="D54" s="125"/>
      <c r="E54" s="125"/>
      <c r="F54" s="219" t="s">
        <v>10</v>
      </c>
    </row>
    <row r="55" spans="2:6" x14ac:dyDescent="0.25">
      <c r="B55" s="220" t="s">
        <v>167</v>
      </c>
      <c r="C55" s="125"/>
      <c r="D55" s="125"/>
      <c r="E55" s="125"/>
      <c r="F55" s="125">
        <v>0</v>
      </c>
    </row>
    <row r="56" spans="2:6" x14ac:dyDescent="0.25">
      <c r="B56" s="220" t="s">
        <v>168</v>
      </c>
      <c r="C56" s="125"/>
      <c r="D56" s="125"/>
      <c r="E56" s="125"/>
      <c r="F56" s="125">
        <v>0</v>
      </c>
    </row>
    <row r="57" spans="2:6" x14ac:dyDescent="0.25">
      <c r="B57" s="220" t="s">
        <v>169</v>
      </c>
      <c r="C57" s="125"/>
      <c r="D57" s="125"/>
      <c r="E57" s="125"/>
      <c r="F57" s="125">
        <v>-20144</v>
      </c>
    </row>
    <row r="58" spans="2:6" x14ac:dyDescent="0.25">
      <c r="B58" s="220" t="s">
        <v>170</v>
      </c>
      <c r="C58" s="125"/>
      <c r="D58" s="125"/>
      <c r="E58" s="125"/>
      <c r="F58" s="125">
        <v>-97753</v>
      </c>
    </row>
    <row r="59" spans="2:6" ht="18" x14ac:dyDescent="0.4">
      <c r="B59" s="220" t="s">
        <v>171</v>
      </c>
      <c r="C59" s="125"/>
      <c r="D59" s="125"/>
      <c r="E59" s="125"/>
      <c r="F59" s="222">
        <v>0</v>
      </c>
    </row>
    <row r="60" spans="2:6" ht="18" x14ac:dyDescent="0.4">
      <c r="B60" s="125"/>
      <c r="C60" s="125"/>
      <c r="D60" s="125"/>
      <c r="E60" s="125"/>
      <c r="F60" s="221">
        <f>SUM(F55:F59)</f>
        <v>-117897</v>
      </c>
    </row>
    <row r="61" spans="2:6" x14ac:dyDescent="0.25">
      <c r="B61" s="217"/>
      <c r="C61" s="217"/>
      <c r="D61" s="217"/>
      <c r="E61" s="217"/>
      <c r="F61" s="217"/>
    </row>
  </sheetData>
  <mergeCells count="6">
    <mergeCell ref="A46:F46"/>
    <mergeCell ref="A1:F1"/>
    <mergeCell ref="A2:F2"/>
    <mergeCell ref="A3:F3"/>
    <mergeCell ref="A4:F4"/>
    <mergeCell ref="A5:F5"/>
  </mergeCells>
  <printOptions horizontalCentered="1"/>
  <pageMargins left="0.75" right="0.75" top="1.75" bottom="0.5" header="0.75" footer="0.25"/>
  <pageSetup scale="60" orientation="portrait" r:id="rId1"/>
  <headerFooter>
    <oddHeader xml:space="preserve">&amp;C&amp;"Times New Roman,Bold"&amp;12
</oddHeader>
    <oddFooter>&amp;R&amp;"-,Bold"&amp;14Stipulation Exhibit 5
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128"/>
  <sheetViews>
    <sheetView view="pageBreakPreview" zoomScale="60" zoomScaleNormal="100" workbookViewId="0">
      <selection sqref="A1:K1"/>
    </sheetView>
  </sheetViews>
  <sheetFormatPr defaultColWidth="9.140625" defaultRowHeight="15.75" x14ac:dyDescent="0.25"/>
  <cols>
    <col min="1" max="1" width="68.140625" style="5" bestFit="1" customWidth="1"/>
    <col min="2" max="2" width="16" style="5" customWidth="1"/>
    <col min="3" max="3" width="19" style="5" bestFit="1" customWidth="1"/>
    <col min="4" max="4" width="15.140625" style="5" customWidth="1"/>
    <col min="5" max="5" width="23" style="5" bestFit="1" customWidth="1"/>
    <col min="6" max="6" width="23.42578125" style="5" bestFit="1" customWidth="1"/>
    <col min="7" max="7" width="22" style="5" bestFit="1" customWidth="1"/>
    <col min="8" max="8" width="23" style="5" bestFit="1" customWidth="1"/>
    <col min="9" max="9" width="22.5703125" style="5" bestFit="1" customWidth="1"/>
    <col min="10" max="10" width="15.7109375" style="5" customWidth="1"/>
    <col min="11" max="11" width="18.7109375" style="5" customWidth="1"/>
    <col min="12" max="12" width="4.140625" style="5" customWidth="1"/>
    <col min="13" max="13" width="12.5703125" style="5" customWidth="1"/>
    <col min="14" max="14" width="16" style="5" bestFit="1" customWidth="1"/>
    <col min="15" max="15" width="15.85546875" style="5" bestFit="1" customWidth="1"/>
    <col min="16" max="16" width="12.42578125" style="5" bestFit="1" customWidth="1"/>
    <col min="17" max="17" width="8.28515625" style="5" bestFit="1" customWidth="1"/>
    <col min="18" max="16384" width="9.140625" style="5"/>
  </cols>
  <sheetData>
    <row r="1" spans="1:17" x14ac:dyDescent="0.25">
      <c r="A1" s="233" t="str">
        <f>Index!A5</f>
        <v>LOUISVILLE GAS AND ELECTRIC COMPANY</v>
      </c>
      <c r="B1" s="237"/>
      <c r="C1" s="237"/>
      <c r="D1" s="237"/>
      <c r="E1" s="237"/>
      <c r="F1" s="237"/>
      <c r="G1" s="237"/>
      <c r="H1" s="237"/>
      <c r="I1" s="237"/>
      <c r="J1" s="237"/>
      <c r="K1" s="237"/>
    </row>
    <row r="2" spans="1:17" x14ac:dyDescent="0.25">
      <c r="A2" s="237" t="str">
        <f>Index!A7</f>
        <v>CASE NO. 2018-00295</v>
      </c>
      <c r="B2" s="237"/>
      <c r="C2" s="237"/>
      <c r="D2" s="237"/>
      <c r="E2" s="237"/>
      <c r="F2" s="237"/>
      <c r="G2" s="237"/>
      <c r="H2" s="237"/>
      <c r="I2" s="237"/>
      <c r="J2" s="237"/>
      <c r="K2" s="237"/>
    </row>
    <row r="3" spans="1:17" x14ac:dyDescent="0.25">
      <c r="A3" s="237" t="str">
        <f>Index!C20</f>
        <v>Average Bill Comparison at Current and Proposed Gas Rates</v>
      </c>
      <c r="B3" s="237"/>
      <c r="C3" s="237"/>
      <c r="D3" s="237"/>
      <c r="E3" s="237"/>
      <c r="F3" s="237"/>
      <c r="G3" s="237"/>
      <c r="H3" s="237"/>
      <c r="I3" s="237"/>
      <c r="J3" s="237"/>
      <c r="K3" s="237"/>
    </row>
    <row r="4" spans="1:17" x14ac:dyDescent="0.25">
      <c r="A4" s="237" t="str">
        <f>Index!D13</f>
        <v>For the 12 Months Ended April 30, 2020</v>
      </c>
      <c r="B4" s="237"/>
      <c r="C4" s="237"/>
      <c r="D4" s="237"/>
      <c r="E4" s="237"/>
      <c r="F4" s="237"/>
      <c r="G4" s="237"/>
      <c r="H4" s="237"/>
      <c r="I4" s="237"/>
      <c r="J4" s="237"/>
      <c r="K4" s="237"/>
    </row>
    <row r="5" spans="1:17" x14ac:dyDescent="0.25">
      <c r="A5" s="237" t="str">
        <f>'Stipulation Sch M-2.1-G'!A5:F5</f>
        <v>Gas Operations</v>
      </c>
      <c r="B5" s="237"/>
      <c r="C5" s="237"/>
      <c r="D5" s="237"/>
      <c r="E5" s="237"/>
      <c r="F5" s="237"/>
      <c r="G5" s="237"/>
      <c r="H5" s="237"/>
      <c r="I5" s="237"/>
      <c r="J5" s="237"/>
      <c r="K5" s="237"/>
    </row>
    <row r="7" spans="1:17" x14ac:dyDescent="0.25">
      <c r="A7" s="143" t="str">
        <f>'Stipulation Sch M-2.1-G'!A10</f>
        <v>DATA:  ____ BASE PERIOD  __X__  FORECAST PERIOD</v>
      </c>
      <c r="K7" s="144" t="str">
        <f>"Schedule "&amp;Index!A20</f>
        <v>Schedule M-2.2-G</v>
      </c>
      <c r="L7" s="144"/>
    </row>
    <row r="8" spans="1:17" x14ac:dyDescent="0.25">
      <c r="A8" s="145" t="str">
        <f>'Stipulation Sch M-2.1-G'!A11</f>
        <v>TYPE OF FILING: __X__ ORIGINAL  _____ UPDATED  _____ REVISED</v>
      </c>
      <c r="K8" s="146" t="s">
        <v>68</v>
      </c>
      <c r="L8" s="144"/>
    </row>
    <row r="9" spans="1:17" x14ac:dyDescent="0.25">
      <c r="A9" s="145" t="str">
        <f>'Stipulation Sch M-2.1-G'!A12</f>
        <v>WORK PAPER REFERENCE NO(S):</v>
      </c>
      <c r="J9" s="146"/>
      <c r="K9" s="126" t="s">
        <v>163</v>
      </c>
      <c r="L9" s="146"/>
    </row>
    <row r="10" spans="1:17" x14ac:dyDescent="0.25">
      <c r="A10" s="145"/>
      <c r="L10" s="146"/>
    </row>
    <row r="11" spans="1:17" ht="57" customHeight="1" thickBot="1" x14ac:dyDescent="0.3">
      <c r="A11" s="147"/>
      <c r="B11" s="148" t="s">
        <v>55</v>
      </c>
      <c r="C11" s="148" t="s">
        <v>77</v>
      </c>
      <c r="D11" s="148" t="s">
        <v>69</v>
      </c>
      <c r="E11" s="148" t="s">
        <v>56</v>
      </c>
      <c r="F11" s="149" t="s">
        <v>57</v>
      </c>
      <c r="G11" s="149" t="s">
        <v>70</v>
      </c>
      <c r="H11" s="148" t="s">
        <v>71</v>
      </c>
      <c r="I11" s="148" t="s">
        <v>72</v>
      </c>
      <c r="J11" s="148" t="s">
        <v>73</v>
      </c>
      <c r="K11" s="148" t="s">
        <v>74</v>
      </c>
      <c r="L11" s="150"/>
      <c r="M11" s="240"/>
      <c r="N11" s="1"/>
      <c r="O11" s="1"/>
    </row>
    <row r="12" spans="1:17" x14ac:dyDescent="0.25">
      <c r="B12" s="151"/>
      <c r="C12" s="151"/>
      <c r="D12" s="151"/>
      <c r="E12" s="152"/>
      <c r="F12" s="131"/>
      <c r="G12" s="131"/>
      <c r="H12" s="152"/>
      <c r="I12" s="153"/>
      <c r="J12" s="152"/>
      <c r="K12" s="152"/>
      <c r="L12" s="152"/>
      <c r="M12" s="1"/>
      <c r="N12" s="1"/>
      <c r="O12" s="1"/>
    </row>
    <row r="13" spans="1:17" x14ac:dyDescent="0.25">
      <c r="A13" s="154" t="s">
        <v>123</v>
      </c>
      <c r="B13" s="155">
        <f>'Stipulation Sch M-2.3 Pg. 2-11'!E20</f>
        <v>3587761</v>
      </c>
      <c r="C13" s="155">
        <f>'Stipulation Sch M-2.3 Pg. 2-11'!F22</f>
        <v>19344464.899848823</v>
      </c>
      <c r="D13" s="156">
        <f>ROUND(C13/B13,3)</f>
        <v>5.3920000000000003</v>
      </c>
      <c r="E13" s="133">
        <f>'Stipulation Sch M-2.3 Pg. 2-11'!I31</f>
        <v>217967718.12771013</v>
      </c>
      <c r="F13" s="157">
        <f>(E13/C13)*D13</f>
        <v>60.755463758203931</v>
      </c>
      <c r="G13" s="133">
        <f>'Stipulation Sch M-2.3 Pg.1'!G15</f>
        <v>13741600.408023894</v>
      </c>
      <c r="H13" s="133">
        <f>'Stipulation Sch M-2.3 Pg. 2-11'!L31</f>
        <v>231709318.53573403</v>
      </c>
      <c r="I13" s="158">
        <f>(H13/C13)*D13</f>
        <v>64.585743364472279</v>
      </c>
      <c r="J13" s="159">
        <f>I13-F13</f>
        <v>3.8302796062683484</v>
      </c>
      <c r="K13" s="135">
        <f>J13/F13</f>
        <v>6.3044199967136921E-2</v>
      </c>
      <c r="L13" s="120"/>
      <c r="M13" s="225"/>
      <c r="N13" s="1"/>
      <c r="O13" s="1"/>
    </row>
    <row r="14" spans="1:17" x14ac:dyDescent="0.25">
      <c r="A14" s="154"/>
      <c r="B14" s="155"/>
      <c r="C14" s="155"/>
      <c r="D14" s="156"/>
      <c r="E14" s="133"/>
      <c r="F14" s="157"/>
      <c r="G14" s="133"/>
      <c r="H14" s="133"/>
      <c r="I14" s="158"/>
      <c r="J14" s="159"/>
      <c r="K14" s="159"/>
      <c r="L14" s="79"/>
      <c r="M14" s="1"/>
      <c r="N14" s="1"/>
      <c r="O14" s="1"/>
    </row>
    <row r="15" spans="1:17" x14ac:dyDescent="0.25">
      <c r="A15" s="154" t="s">
        <v>50</v>
      </c>
      <c r="B15" s="155">
        <f>'Stipulation Sch M-2.3 Pg. 2-11'!E41+'Stipulation Sch M-2.3 Pg. 2-11'!E42+'Stipulation Sch M-2.3 Pg. 2-11'!E55</f>
        <v>300937</v>
      </c>
      <c r="C15" s="155">
        <f>'Stipulation Sch M-2.3 Pg. 2-11'!F46+'Stipulation Sch M-2.3 Pg. 2-11'!G47+'Stipulation Sch M-2.3 Pg. 2-11'!F62+'Stipulation Sch M-2.3 Pg. 2-11'!G63</f>
        <v>9951330.4410314187</v>
      </c>
      <c r="D15" s="156">
        <f>ROUND(C15/B15,3)</f>
        <v>33.067999999999998</v>
      </c>
      <c r="E15" s="133">
        <f>'Stipulation Sch M-2.3 Pg. 2-11'!I75</f>
        <v>90494240.651483163</v>
      </c>
      <c r="F15" s="157">
        <f>(E15/C15)*D15</f>
        <v>300.70989679175875</v>
      </c>
      <c r="G15" s="133">
        <f>'Stipulation Sch M-2.3 Pg.1'!G17</f>
        <v>5703702.8875270337</v>
      </c>
      <c r="H15" s="133">
        <f>'Stipulation Sch M-2.3 Pg. 2-11'!L75</f>
        <v>96197943.539010197</v>
      </c>
      <c r="I15" s="158">
        <f>(H15/C15)*D15</f>
        <v>319.66314612885901</v>
      </c>
      <c r="J15" s="159">
        <f>I15-F15</f>
        <v>18.95324933710026</v>
      </c>
      <c r="K15" s="135">
        <f>J15/F15</f>
        <v>6.3028352373202284E-2</v>
      </c>
      <c r="L15" s="120"/>
      <c r="M15" s="225"/>
      <c r="N15" s="1"/>
      <c r="O15" s="1"/>
      <c r="Q15" s="58"/>
    </row>
    <row r="16" spans="1:17" x14ac:dyDescent="0.25">
      <c r="A16" s="154"/>
      <c r="B16" s="155"/>
      <c r="C16" s="155"/>
      <c r="D16" s="156"/>
      <c r="E16" s="133"/>
      <c r="F16" s="157"/>
      <c r="G16" s="133"/>
      <c r="H16" s="133"/>
      <c r="I16" s="158"/>
      <c r="J16" s="159"/>
      <c r="K16" s="159"/>
      <c r="L16" s="79"/>
      <c r="M16" s="1"/>
      <c r="N16" s="1"/>
      <c r="O16" s="1"/>
      <c r="Q16" s="58"/>
    </row>
    <row r="17" spans="1:15" x14ac:dyDescent="0.25">
      <c r="A17" s="154" t="s">
        <v>51</v>
      </c>
      <c r="B17" s="160">
        <f>'Stipulation Sch M-2.3 Pg. 2-11'!E84+'Stipulation Sch M-2.3 Pg. 2-11'!E85+'Stipulation Sch M-2.3 Pg. 2-11'!E96</f>
        <v>3006</v>
      </c>
      <c r="C17" s="160">
        <f>'Stipulation Sch M-2.3 Pg. 2-11'!F89+'Stipulation Sch M-2.3 Pg. 2-11'!G90+'Stipulation Sch M-2.3 Pg. 2-11'!F103+'Stipulation Sch M-2.3 Pg. 2-11'!G104</f>
        <v>1793665.3165974165</v>
      </c>
      <c r="D17" s="156">
        <f>ROUND(C17/B17,3)</f>
        <v>596.69500000000005</v>
      </c>
      <c r="E17" s="136">
        <f>'Stipulation Sch M-2.3 Pg. 2-11'!I116</f>
        <v>10967358.877135254</v>
      </c>
      <c r="F17" s="157">
        <f>(E17/C17)*D17</f>
        <v>3648.4890155575454</v>
      </c>
      <c r="G17" s="133">
        <f>'Stipulation Sch M-2.3 Pg.1'!G19</f>
        <v>-74.137500001117587</v>
      </c>
      <c r="H17" s="133">
        <f>'Stipulation Sch M-2.3 Pg. 2-11'!L116</f>
        <v>10967284.739635253</v>
      </c>
      <c r="I17" s="158">
        <f>(H17/C17)*D17</f>
        <v>3648.4643523859081</v>
      </c>
      <c r="J17" s="159">
        <f>I17-F17</f>
        <v>-2.4663171637257619E-2</v>
      </c>
      <c r="K17" s="135">
        <f>J17/F17</f>
        <v>-6.7598316815786566E-6</v>
      </c>
      <c r="L17" s="120"/>
      <c r="M17" s="225"/>
      <c r="N17" s="1"/>
      <c r="O17" s="1"/>
    </row>
    <row r="18" spans="1:15" x14ac:dyDescent="0.25">
      <c r="A18" s="154"/>
      <c r="B18" s="160"/>
      <c r="C18" s="160"/>
      <c r="D18" s="161"/>
      <c r="E18" s="136"/>
      <c r="F18" s="158"/>
      <c r="G18" s="133"/>
      <c r="H18" s="133"/>
      <c r="I18" s="158"/>
      <c r="J18" s="159"/>
      <c r="K18" s="159"/>
      <c r="L18" s="79"/>
      <c r="M18" s="1"/>
      <c r="N18" s="1"/>
      <c r="O18" s="1"/>
    </row>
    <row r="19" spans="1:15" x14ac:dyDescent="0.25">
      <c r="A19" s="154" t="s">
        <v>14</v>
      </c>
      <c r="B19" s="160">
        <f>'Stipulation Sch M-2.3 Pg. 2-11'!E125+'Stipulation Sch M-2.3 Pg. 2-11'!E132</f>
        <v>60</v>
      </c>
      <c r="C19" s="160">
        <f>'Stipulation Sch M-2.3 Pg. 2-11'!F126+'Stipulation Sch M-2.3 Pg. 2-11'!F135</f>
        <v>215901.63499759394</v>
      </c>
      <c r="D19" s="156">
        <f>ROUND(C19/B19,3)</f>
        <v>3598.3609999999999</v>
      </c>
      <c r="E19" s="136">
        <f>'Stipulation Sch M-2.3 Pg. 2-11'!I147</f>
        <v>832734.57018943038</v>
      </c>
      <c r="F19" s="157">
        <f>(E19/C19)*D19</f>
        <v>13878.911110398967</v>
      </c>
      <c r="G19" s="133">
        <f>'Stipulation Sch M-2.3 Pg.1'!G21</f>
        <v>0</v>
      </c>
      <c r="H19" s="133">
        <f>'Stipulation Sch M-2.3 Pg. 2-11'!L147</f>
        <v>832734.57018943038</v>
      </c>
      <c r="I19" s="158">
        <f>(H19/C19)*D19</f>
        <v>13878.911110398967</v>
      </c>
      <c r="J19" s="159">
        <f>I19-F19</f>
        <v>0</v>
      </c>
      <c r="K19" s="135">
        <f>J19/F19</f>
        <v>0</v>
      </c>
      <c r="L19" s="120"/>
      <c r="M19" s="225"/>
      <c r="N19" s="1"/>
      <c r="O19" s="1"/>
    </row>
    <row r="20" spans="1:15" x14ac:dyDescent="0.25">
      <c r="A20" s="154"/>
      <c r="B20" s="160"/>
      <c r="C20" s="160"/>
      <c r="D20" s="161"/>
      <c r="E20" s="136"/>
      <c r="F20" s="158"/>
      <c r="G20" s="133"/>
      <c r="H20" s="133"/>
      <c r="I20" s="158"/>
      <c r="J20" s="159"/>
      <c r="K20" s="159"/>
      <c r="L20" s="79"/>
      <c r="M20" s="1"/>
      <c r="N20" s="1"/>
      <c r="O20" s="1"/>
    </row>
    <row r="21" spans="1:15" x14ac:dyDescent="0.25">
      <c r="A21" s="154" t="s">
        <v>53</v>
      </c>
      <c r="B21" s="162">
        <f>'Stipulation Sch M-2.3 Pg. 2-11'!E155</f>
        <v>924</v>
      </c>
      <c r="C21" s="160">
        <f>'Stipulation Sch M-2.3 Pg. 2-11'!F158</f>
        <v>13291726.750302574</v>
      </c>
      <c r="D21" s="156">
        <f>ROUND(C21/B21,3)</f>
        <v>14384.986000000001</v>
      </c>
      <c r="E21" s="136">
        <f>'Stipulation Sch M-2.3 Pg. 2-11'!I171</f>
        <v>6552777.7692689793</v>
      </c>
      <c r="F21" s="157">
        <f>(E21/C21)*D21</f>
        <v>7091.7509999142685</v>
      </c>
      <c r="G21" s="133">
        <f>'Stipulation Sch M-2.3 Pg.1'!G23</f>
        <v>-85.025622844696045</v>
      </c>
      <c r="H21" s="133">
        <f>'Stipulation Sch M-2.3 Pg. 2-11'!L171</f>
        <v>6552692.7436461346</v>
      </c>
      <c r="I21" s="158">
        <f>(H21/C21)*D21</f>
        <v>7091.6589808397539</v>
      </c>
      <c r="J21" s="159">
        <f>I21-F21</f>
        <v>-9.2019074514610111E-2</v>
      </c>
      <c r="K21" s="135">
        <f>J21/F21</f>
        <v>-1.2975508378075107E-5</v>
      </c>
      <c r="L21" s="120"/>
      <c r="M21" s="225"/>
      <c r="N21" s="1"/>
      <c r="O21" s="1"/>
    </row>
    <row r="22" spans="1:15" x14ac:dyDescent="0.25">
      <c r="A22" s="154"/>
      <c r="B22" s="160"/>
      <c r="C22" s="160"/>
      <c r="D22" s="161"/>
      <c r="E22" s="136"/>
      <c r="F22" s="158"/>
      <c r="G22" s="133"/>
      <c r="H22" s="133"/>
      <c r="I22" s="158"/>
      <c r="J22" s="159"/>
      <c r="K22" s="159"/>
      <c r="L22" s="79"/>
      <c r="M22" s="1"/>
      <c r="N22" s="1"/>
      <c r="O22" s="1"/>
    </row>
    <row r="23" spans="1:15" x14ac:dyDescent="0.25">
      <c r="A23" s="154" t="s">
        <v>52</v>
      </c>
      <c r="B23" s="54">
        <f>'Stipulation Sch M-2.3 Pg. 2-11'!E180</f>
        <v>12</v>
      </c>
      <c r="C23" s="160">
        <f>'Stipulation Sch M-2.3 Pg. 2-11'!F181</f>
        <v>404400.4</v>
      </c>
      <c r="D23" s="156">
        <f>ROUND(C23/B23,3)</f>
        <v>33700.033000000003</v>
      </c>
      <c r="E23" s="136">
        <f>'Stipulation Sch M-2.3 Pg. 2-11'!I191</f>
        <v>3766299.7771655498</v>
      </c>
      <c r="F23" s="157">
        <f>(E23/C23)*D23</f>
        <v>313858.31165936455</v>
      </c>
      <c r="G23" s="133">
        <f>'Stipulation Sch M-2.3 Pg.1'!G25</f>
        <v>0</v>
      </c>
      <c r="H23" s="133">
        <f>'Stipulation Sch M-2.3 Pg. 2-11'!L191</f>
        <v>3766299.7771655498</v>
      </c>
      <c r="I23" s="158">
        <f>(H23/C23)*D23</f>
        <v>313858.31165936455</v>
      </c>
      <c r="J23" s="205">
        <f>I23-F23</f>
        <v>0</v>
      </c>
      <c r="K23" s="135">
        <f>J23/F23</f>
        <v>0</v>
      </c>
      <c r="L23" s="120"/>
      <c r="M23" s="225"/>
      <c r="N23" s="1"/>
      <c r="O23" s="1"/>
    </row>
    <row r="24" spans="1:15" x14ac:dyDescent="0.25">
      <c r="A24" s="154"/>
      <c r="B24" s="54"/>
      <c r="C24" s="160"/>
      <c r="D24" s="161"/>
      <c r="E24" s="136"/>
      <c r="F24" s="158"/>
      <c r="G24" s="133"/>
      <c r="H24" s="133"/>
      <c r="I24" s="158"/>
      <c r="J24" s="159"/>
      <c r="K24" s="159"/>
      <c r="L24" s="79"/>
      <c r="M24" s="1"/>
      <c r="N24" s="1"/>
      <c r="O24" s="1"/>
    </row>
    <row r="25" spans="1:15" x14ac:dyDescent="0.25">
      <c r="A25" s="154" t="s">
        <v>54</v>
      </c>
      <c r="B25" s="160">
        <f>'Stipulation Sch M-2.3 Pg. 2-11'!E200+'Stipulation Sch M-2.3 Pg. 2-11'!E201+'Stipulation Sch M-2.3 Pg. 2-11'!E209</f>
        <v>24</v>
      </c>
      <c r="C25" s="160">
        <f>'Stipulation Sch M-2.3 Pg. 2-11'!F202+'Stipulation Sch M-2.3 Pg. 2-11'!F213</f>
        <v>8.3905771403462044</v>
      </c>
      <c r="D25" s="156">
        <f>ROUND(C25/B25,3)</f>
        <v>0.35</v>
      </c>
      <c r="E25" s="136">
        <f>'Stipulation Sch M-2.3 Pg. 2-11'!I226</f>
        <v>16523.84155477988</v>
      </c>
      <c r="F25" s="157">
        <f>(E25/C25)*D25</f>
        <v>689.26659602039365</v>
      </c>
      <c r="G25" s="133">
        <f>'Stipulation Sch M-2.3 Pg.1'!G27</f>
        <v>0</v>
      </c>
      <c r="H25" s="133">
        <f>'Stipulation Sch M-2.3 Pg. 2-11'!L226</f>
        <v>16523.842015460272</v>
      </c>
      <c r="I25" s="158">
        <f>(H25/C25)*D25</f>
        <v>689.26661523696669</v>
      </c>
      <c r="J25" s="204">
        <f>ROUND(I25-F25,0)</f>
        <v>0</v>
      </c>
      <c r="K25" s="135">
        <f>J25/F25</f>
        <v>0</v>
      </c>
      <c r="L25" s="120"/>
      <c r="M25" s="225"/>
      <c r="N25" s="1"/>
      <c r="O25" s="1"/>
    </row>
    <row r="26" spans="1:15" x14ac:dyDescent="0.25">
      <c r="B26" s="131"/>
      <c r="C26" s="155"/>
      <c r="D26" s="131"/>
      <c r="E26" s="133"/>
      <c r="F26" s="163"/>
      <c r="G26" s="133"/>
      <c r="H26" s="133"/>
      <c r="I26" s="136"/>
      <c r="J26" s="131"/>
      <c r="K26" s="131"/>
      <c r="M26" s="1"/>
      <c r="N26" s="1"/>
      <c r="O26" s="1"/>
    </row>
    <row r="27" spans="1:15" x14ac:dyDescent="0.25">
      <c r="A27" s="5" t="s">
        <v>126</v>
      </c>
      <c r="B27" s="155">
        <f>'Stipulation Sch M-2.3 Pg. 2-11'!E235</f>
        <v>12</v>
      </c>
      <c r="C27" s="155">
        <f>'Stipulation Sch M-2.3 Pg. 2-11'!F236</f>
        <v>1497.8666049837539</v>
      </c>
      <c r="D27" s="156">
        <f>ROUND(C27/B27,3)</f>
        <v>124.822</v>
      </c>
      <c r="E27" s="133">
        <f>'Stipulation Sch M-2.3 Pg. 2-11'!I246</f>
        <v>43466.412737507228</v>
      </c>
      <c r="F27" s="157">
        <f>(E27/C27)*D27</f>
        <v>3622.1947619828093</v>
      </c>
      <c r="G27" s="133">
        <f>'Stipulation Sch M-2.3 Pg. 2-11'!L248</f>
        <v>2760.9293599814991</v>
      </c>
      <c r="H27" s="133">
        <f>'Stipulation Sch M-2.3 Pg. 2-11'!L246</f>
        <v>46227.342097488727</v>
      </c>
      <c r="I27" s="158">
        <f>(H27/C27)*D27</f>
        <v>3852.271808513497</v>
      </c>
      <c r="J27" s="159">
        <f>I27-F27</f>
        <v>230.07704653068777</v>
      </c>
      <c r="K27" s="135">
        <f>IF(F27=0,0,J27/F27)</f>
        <v>6.3518684568121431E-2</v>
      </c>
      <c r="M27" s="225"/>
      <c r="N27" s="1"/>
      <c r="O27" s="1"/>
    </row>
    <row r="28" spans="1:15" x14ac:dyDescent="0.25">
      <c r="C28" s="164"/>
      <c r="E28" s="85"/>
      <c r="F28" s="77"/>
      <c r="G28" s="85"/>
      <c r="H28" s="85"/>
      <c r="I28" s="165"/>
      <c r="M28" s="1"/>
      <c r="N28" s="1"/>
      <c r="O28" s="1"/>
    </row>
    <row r="29" spans="1:15" x14ac:dyDescent="0.25">
      <c r="A29" s="5" t="s">
        <v>127</v>
      </c>
      <c r="B29" s="155">
        <f>'Stipulation Sch M-2.3 Pg. 2-11'!E255</f>
        <v>0</v>
      </c>
      <c r="C29" s="155">
        <f>'Stipulation Sch M-2.3 Pg. 2-11'!F256</f>
        <v>0</v>
      </c>
      <c r="D29" s="156">
        <f>IF(B29=0,0,ROUND(C29/B29,3))</f>
        <v>0</v>
      </c>
      <c r="E29" s="85">
        <f>'Stipulation Sch M-2.3 Pg. 2-11'!I266</f>
        <v>0</v>
      </c>
      <c r="F29" s="157">
        <f>IF(C29=0,0,(E29/C29)*D29)</f>
        <v>0</v>
      </c>
      <c r="G29" s="85">
        <f>'Stipulation Sch M-2.3 Pg. 2-11'!L268</f>
        <v>0</v>
      </c>
      <c r="H29" s="85">
        <f>'Stipulation Sch M-2.3 Pg. 2-11'!L266</f>
        <v>0</v>
      </c>
      <c r="I29" s="158">
        <f>IF(C29=0,0,(H29/C29)*D29)</f>
        <v>0</v>
      </c>
      <c r="J29" s="159">
        <f>I29-F29</f>
        <v>0</v>
      </c>
      <c r="K29" s="135">
        <f>IF(F29=0,0,J29/F29)</f>
        <v>0</v>
      </c>
      <c r="M29" s="225"/>
      <c r="N29" s="1"/>
      <c r="O29" s="1"/>
    </row>
    <row r="30" spans="1:15" x14ac:dyDescent="0.25">
      <c r="C30" s="164"/>
      <c r="E30" s="85"/>
      <c r="F30" s="77"/>
      <c r="G30" s="85"/>
      <c r="H30" s="85"/>
      <c r="I30" s="165"/>
      <c r="M30" s="1"/>
      <c r="N30" s="1"/>
      <c r="O30" s="1"/>
    </row>
    <row r="31" spans="1:15" x14ac:dyDescent="0.25">
      <c r="A31" s="5" t="s">
        <v>130</v>
      </c>
      <c r="B31" s="155">
        <f>'Stipulation Sch M-2.3 Pg. 2-11'!E276</f>
        <v>0</v>
      </c>
      <c r="C31" s="155">
        <f>'Stipulation Sch M-2.3 Pg. 2-11'!F277</f>
        <v>0</v>
      </c>
      <c r="D31" s="156">
        <f>IF(C31=0,0,(ROUND(C31/B31,3)))</f>
        <v>0</v>
      </c>
      <c r="E31" s="85">
        <f>'Stipulation Sch M-2.3 Pg. 2-11'!I287</f>
        <v>0</v>
      </c>
      <c r="F31" s="157">
        <f>IF(C31=0,0,((E31/C31)*D31))</f>
        <v>0</v>
      </c>
      <c r="G31" s="85">
        <f>'Stipulation Sch M-2.3 Pg. 2-11'!L289</f>
        <v>0</v>
      </c>
      <c r="H31" s="85">
        <f>'Stipulation Sch M-2.3 Pg. 2-11'!L287</f>
        <v>0</v>
      </c>
      <c r="I31" s="158">
        <f>IF(C31=0,0,((H31/C31)*D31))</f>
        <v>0</v>
      </c>
      <c r="J31" s="159">
        <f>I31-F31</f>
        <v>0</v>
      </c>
      <c r="K31" s="135">
        <f>IF(F31=0,0,J31/F31)</f>
        <v>0</v>
      </c>
      <c r="M31" s="225"/>
    </row>
    <row r="32" spans="1:15" x14ac:dyDescent="0.25">
      <c r="B32" s="1"/>
      <c r="C32" s="1"/>
      <c r="D32" s="1"/>
      <c r="E32" s="1"/>
      <c r="F32" s="1"/>
      <c r="G32" s="1"/>
      <c r="H32" s="1"/>
      <c r="I32" s="1"/>
      <c r="J32" s="1"/>
    </row>
    <row r="33" spans="1:10" x14ac:dyDescent="0.25">
      <c r="B33" s="1"/>
      <c r="C33" s="1"/>
      <c r="D33" s="1"/>
      <c r="E33" s="1"/>
      <c r="F33" s="1"/>
      <c r="G33" s="1"/>
      <c r="H33" s="1"/>
      <c r="I33" s="1"/>
      <c r="J33" s="1"/>
    </row>
    <row r="34" spans="1:10" x14ac:dyDescent="0.25">
      <c r="A34" s="166"/>
      <c r="B34" s="7"/>
      <c r="C34" s="7"/>
      <c r="D34" s="1"/>
      <c r="E34" s="7"/>
      <c r="F34" s="1"/>
      <c r="G34" s="1"/>
      <c r="H34" s="1"/>
      <c r="I34" s="1"/>
      <c r="J34" s="1"/>
    </row>
    <row r="35" spans="1:10" x14ac:dyDescent="0.25">
      <c r="A35" s="166"/>
      <c r="B35" s="3"/>
      <c r="C35" s="3"/>
      <c r="D35" s="1"/>
      <c r="E35" s="3"/>
      <c r="F35" s="1"/>
      <c r="G35" s="1"/>
      <c r="H35" s="1"/>
      <c r="I35" s="1"/>
      <c r="J35" s="1"/>
    </row>
    <row r="36" spans="1:10" x14ac:dyDescent="0.25">
      <c r="A36" s="166"/>
      <c r="B36" s="8"/>
      <c r="C36" s="8"/>
      <c r="D36" s="1"/>
      <c r="E36" s="9"/>
      <c r="F36" s="1"/>
      <c r="G36" s="1"/>
      <c r="H36" s="1"/>
      <c r="I36" s="1"/>
      <c r="J36" s="1"/>
    </row>
    <row r="37" spans="1:10" x14ac:dyDescent="0.25">
      <c r="B37" s="1"/>
      <c r="C37" s="1"/>
      <c r="D37" s="1"/>
      <c r="E37" s="1"/>
      <c r="F37" s="1"/>
      <c r="G37" s="1"/>
      <c r="H37" s="1"/>
      <c r="I37" s="1"/>
      <c r="J37" s="1"/>
    </row>
    <row r="38" spans="1:10" x14ac:dyDescent="0.25">
      <c r="B38" s="1"/>
      <c r="C38" s="1"/>
      <c r="D38" s="1"/>
      <c r="E38" s="1"/>
      <c r="F38" s="1"/>
      <c r="G38" s="1"/>
      <c r="H38" s="1"/>
      <c r="I38" s="1"/>
      <c r="J38" s="1"/>
    </row>
    <row r="39" spans="1:10" x14ac:dyDescent="0.25">
      <c r="B39" s="1"/>
      <c r="C39" s="1"/>
      <c r="D39" s="1"/>
      <c r="E39" s="1"/>
      <c r="F39" s="1"/>
      <c r="G39" s="1"/>
      <c r="H39" s="1"/>
      <c r="I39" s="1"/>
      <c r="J39" s="1"/>
    </row>
    <row r="40" spans="1:10" x14ac:dyDescent="0.25">
      <c r="B40" s="1"/>
      <c r="C40" s="1"/>
      <c r="D40" s="1"/>
      <c r="E40" s="1"/>
      <c r="F40" s="1"/>
      <c r="G40" s="1"/>
      <c r="H40" s="1"/>
      <c r="I40" s="1"/>
      <c r="J40" s="1"/>
    </row>
    <row r="41" spans="1:10" x14ac:dyDescent="0.25">
      <c r="B41" s="1"/>
      <c r="C41" s="1"/>
      <c r="D41" s="1"/>
      <c r="E41" s="1"/>
      <c r="F41" s="1"/>
      <c r="G41" s="1"/>
      <c r="H41" s="1"/>
      <c r="I41" s="1"/>
      <c r="J41" s="1"/>
    </row>
    <row r="42" spans="1:10" x14ac:dyDescent="0.25">
      <c r="B42" s="1"/>
      <c r="C42" s="1"/>
      <c r="D42" s="1"/>
      <c r="E42" s="1"/>
      <c r="F42" s="1"/>
      <c r="G42" s="1"/>
      <c r="H42" s="1"/>
      <c r="I42" s="1"/>
      <c r="J42" s="1"/>
    </row>
    <row r="43" spans="1:10" x14ac:dyDescent="0.25">
      <c r="B43" s="1"/>
      <c r="C43" s="1"/>
      <c r="D43" s="1"/>
      <c r="E43" s="1"/>
      <c r="F43" s="1"/>
      <c r="G43" s="1"/>
      <c r="H43" s="1"/>
      <c r="I43" s="1"/>
      <c r="J43" s="1"/>
    </row>
    <row r="44" spans="1:10" x14ac:dyDescent="0.25">
      <c r="B44" s="1"/>
      <c r="C44" s="1"/>
      <c r="D44" s="1"/>
      <c r="E44" s="1"/>
      <c r="F44" s="1"/>
      <c r="G44" s="1"/>
      <c r="H44" s="1"/>
      <c r="I44" s="1"/>
      <c r="J44" s="1"/>
    </row>
    <row r="45" spans="1:10" x14ac:dyDescent="0.25">
      <c r="B45" s="1"/>
      <c r="C45" s="1"/>
      <c r="D45" s="1"/>
      <c r="E45" s="1"/>
      <c r="F45" s="1"/>
      <c r="G45" s="1"/>
      <c r="H45" s="1"/>
      <c r="I45" s="1"/>
      <c r="J45" s="1"/>
    </row>
    <row r="46" spans="1:10" x14ac:dyDescent="0.25">
      <c r="B46" s="1"/>
      <c r="C46" s="1"/>
      <c r="D46" s="1"/>
      <c r="E46" s="1"/>
      <c r="F46" s="1"/>
      <c r="G46" s="1"/>
      <c r="H46" s="1"/>
      <c r="I46" s="1"/>
      <c r="J46" s="1"/>
    </row>
    <row r="47" spans="1:10" x14ac:dyDescent="0.25">
      <c r="B47" s="1"/>
      <c r="C47" s="1"/>
      <c r="D47" s="1"/>
      <c r="E47" s="1"/>
      <c r="F47" s="1"/>
      <c r="G47" s="1"/>
      <c r="H47" s="1"/>
      <c r="I47" s="1"/>
      <c r="J47" s="1"/>
    </row>
    <row r="48" spans="1:10" x14ac:dyDescent="0.25">
      <c r="B48" s="1"/>
      <c r="C48" s="1"/>
      <c r="D48" s="1"/>
      <c r="E48" s="1"/>
      <c r="F48" s="1"/>
      <c r="G48" s="1"/>
      <c r="H48" s="1"/>
      <c r="I48" s="1"/>
      <c r="J48" s="1"/>
    </row>
    <row r="49" spans="1:12" x14ac:dyDescent="0.25">
      <c r="B49" s="1"/>
      <c r="C49" s="1"/>
      <c r="D49" s="1"/>
      <c r="E49" s="1"/>
      <c r="F49" s="1"/>
      <c r="G49" s="1"/>
      <c r="H49" s="1"/>
      <c r="I49" s="1"/>
      <c r="J49" s="1"/>
    </row>
    <row r="50" spans="1:12" x14ac:dyDescent="0.25">
      <c r="A50" s="167"/>
      <c r="B50" s="1"/>
      <c r="C50" s="1"/>
      <c r="D50" s="1"/>
      <c r="E50" s="1"/>
      <c r="F50" s="1"/>
      <c r="G50" s="1"/>
      <c r="H50" s="1"/>
      <c r="I50" s="1"/>
      <c r="J50" s="1"/>
      <c r="K50" s="165"/>
      <c r="L50" s="165"/>
    </row>
    <row r="51" spans="1:12" x14ac:dyDescent="0.25">
      <c r="A51" s="168"/>
      <c r="B51" s="1"/>
      <c r="C51" s="1"/>
      <c r="D51" s="1"/>
      <c r="E51" s="1"/>
      <c r="F51" s="1"/>
      <c r="G51" s="1"/>
      <c r="H51" s="1"/>
      <c r="I51" s="1"/>
      <c r="J51" s="1"/>
      <c r="K51" s="169"/>
      <c r="L51" s="169"/>
    </row>
    <row r="52" spans="1:12" x14ac:dyDescent="0.25">
      <c r="B52" s="169"/>
      <c r="C52" s="169"/>
      <c r="D52" s="169"/>
      <c r="E52" s="169"/>
      <c r="F52" s="169"/>
      <c r="G52" s="169"/>
      <c r="H52" s="169"/>
      <c r="I52" s="169"/>
      <c r="J52" s="169"/>
      <c r="K52" s="169"/>
      <c r="L52" s="169"/>
    </row>
    <row r="53" spans="1:12" x14ac:dyDescent="0.25">
      <c r="A53" s="170"/>
      <c r="B53" s="171"/>
      <c r="C53" s="171"/>
      <c r="D53" s="171"/>
      <c r="E53" s="171"/>
      <c r="F53" s="171"/>
      <c r="G53" s="171"/>
      <c r="H53" s="165"/>
      <c r="I53" s="165"/>
      <c r="J53" s="165"/>
      <c r="K53" s="165"/>
      <c r="L53" s="165"/>
    </row>
    <row r="54" spans="1:12" ht="18" x14ac:dyDescent="0.4">
      <c r="A54" s="170"/>
      <c r="B54" s="172"/>
      <c r="C54" s="172"/>
      <c r="D54" s="172"/>
      <c r="E54" s="172"/>
      <c r="F54" s="172"/>
      <c r="G54" s="172"/>
      <c r="H54" s="172"/>
      <c r="I54" s="172"/>
      <c r="J54" s="172"/>
      <c r="K54" s="172"/>
      <c r="L54" s="172"/>
    </row>
    <row r="55" spans="1:12" x14ac:dyDescent="0.25">
      <c r="A55" s="173"/>
      <c r="B55" s="169"/>
      <c r="C55" s="169"/>
      <c r="D55" s="169"/>
      <c r="E55" s="169"/>
      <c r="F55" s="169"/>
      <c r="G55" s="169"/>
      <c r="H55" s="85"/>
      <c r="I55" s="85"/>
      <c r="J55" s="85"/>
      <c r="K55" s="85"/>
      <c r="L55" s="85"/>
    </row>
    <row r="56" spans="1:12" x14ac:dyDescent="0.25">
      <c r="B56" s="169"/>
      <c r="C56" s="169"/>
      <c r="D56" s="169"/>
      <c r="E56" s="169"/>
      <c r="F56" s="169"/>
      <c r="G56" s="169"/>
      <c r="H56" s="169"/>
      <c r="I56" s="169"/>
      <c r="J56" s="169"/>
      <c r="K56" s="169"/>
      <c r="L56" s="169"/>
    </row>
    <row r="57" spans="1:12" x14ac:dyDescent="0.25">
      <c r="B57" s="171"/>
      <c r="C57" s="171"/>
      <c r="D57" s="171"/>
      <c r="E57" s="171"/>
      <c r="F57" s="171"/>
      <c r="G57" s="171"/>
      <c r="H57" s="165"/>
      <c r="I57" s="165"/>
      <c r="J57" s="165"/>
      <c r="K57" s="165"/>
      <c r="L57" s="165"/>
    </row>
    <row r="58" spans="1:12" x14ac:dyDescent="0.25">
      <c r="B58" s="169"/>
      <c r="C58" s="169"/>
      <c r="D58" s="169"/>
      <c r="E58" s="169"/>
      <c r="F58" s="169"/>
      <c r="G58" s="169"/>
      <c r="H58" s="85"/>
      <c r="I58" s="85"/>
      <c r="J58" s="85"/>
      <c r="K58" s="85"/>
      <c r="L58" s="85"/>
    </row>
    <row r="59" spans="1:12" x14ac:dyDescent="0.25">
      <c r="B59" s="171"/>
      <c r="C59" s="171"/>
      <c r="D59" s="171"/>
      <c r="E59" s="171"/>
      <c r="F59" s="171"/>
      <c r="G59" s="171"/>
      <c r="H59" s="165"/>
      <c r="I59" s="165"/>
      <c r="J59" s="165"/>
      <c r="K59" s="165"/>
      <c r="L59" s="165"/>
    </row>
    <row r="60" spans="1:12" x14ac:dyDescent="0.25">
      <c r="B60" s="169"/>
      <c r="C60" s="169"/>
      <c r="D60" s="169"/>
      <c r="E60" s="169"/>
      <c r="F60" s="169"/>
      <c r="G60" s="169"/>
      <c r="H60" s="85"/>
      <c r="I60" s="85"/>
      <c r="J60" s="85"/>
      <c r="K60" s="85"/>
      <c r="L60" s="85"/>
    </row>
    <row r="61" spans="1:12" x14ac:dyDescent="0.25">
      <c r="B61" s="171"/>
      <c r="C61" s="171"/>
      <c r="D61" s="171"/>
      <c r="E61" s="171"/>
      <c r="F61" s="171"/>
      <c r="G61" s="171"/>
      <c r="H61" s="165"/>
      <c r="I61" s="165"/>
      <c r="J61" s="165"/>
      <c r="K61" s="165"/>
      <c r="L61" s="165"/>
    </row>
    <row r="62" spans="1:12" x14ac:dyDescent="0.25">
      <c r="B62" s="171"/>
      <c r="C62" s="171"/>
      <c r="D62" s="171"/>
      <c r="E62" s="171"/>
      <c r="F62" s="171"/>
      <c r="G62" s="171"/>
      <c r="H62" s="165"/>
      <c r="I62" s="165"/>
      <c r="J62" s="165"/>
      <c r="K62" s="165"/>
      <c r="L62" s="165"/>
    </row>
    <row r="63" spans="1:12" x14ac:dyDescent="0.25">
      <c r="B63" s="174"/>
      <c r="C63" s="174"/>
      <c r="D63" s="174"/>
      <c r="E63" s="174"/>
      <c r="F63" s="174"/>
      <c r="G63" s="174"/>
      <c r="H63" s="174"/>
      <c r="I63" s="174"/>
      <c r="J63" s="174"/>
      <c r="K63" s="174"/>
      <c r="L63" s="174"/>
    </row>
    <row r="64" spans="1:12" x14ac:dyDescent="0.25">
      <c r="B64" s="169"/>
      <c r="C64" s="169"/>
      <c r="D64" s="169"/>
      <c r="E64" s="169"/>
      <c r="F64" s="169"/>
      <c r="G64" s="169"/>
      <c r="H64" s="85"/>
      <c r="I64" s="85"/>
      <c r="J64" s="85"/>
      <c r="K64" s="85"/>
      <c r="L64" s="85"/>
    </row>
    <row r="65" spans="2:16" x14ac:dyDescent="0.25">
      <c r="B65" s="169"/>
      <c r="C65" s="169"/>
      <c r="D65" s="169"/>
      <c r="E65" s="169"/>
      <c r="F65" s="169"/>
      <c r="G65" s="169"/>
    </row>
    <row r="66" spans="2:16" ht="18" x14ac:dyDescent="0.4">
      <c r="B66" s="175"/>
      <c r="C66" s="175"/>
      <c r="D66" s="175"/>
      <c r="E66" s="175"/>
      <c r="F66" s="175"/>
      <c r="G66" s="175"/>
      <c r="H66" s="176"/>
      <c r="I66" s="176"/>
      <c r="J66" s="176"/>
      <c r="K66" s="176"/>
      <c r="L66" s="176"/>
    </row>
    <row r="68" spans="2:16" x14ac:dyDescent="0.25">
      <c r="B68" s="58"/>
      <c r="C68" s="58"/>
    </row>
    <row r="71" spans="2:16" x14ac:dyDescent="0.25">
      <c r="B71" s="169"/>
      <c r="C71" s="169"/>
      <c r="D71" s="169"/>
      <c r="E71" s="169"/>
      <c r="F71" s="169"/>
      <c r="G71" s="169"/>
      <c r="H71" s="169"/>
      <c r="I71" s="169"/>
      <c r="J71" s="169"/>
      <c r="K71" s="169"/>
      <c r="L71" s="169"/>
    </row>
    <row r="72" spans="2:16" x14ac:dyDescent="0.25">
      <c r="B72" s="169"/>
      <c r="C72" s="169"/>
      <c r="D72" s="169"/>
      <c r="E72" s="169"/>
      <c r="F72" s="169"/>
      <c r="G72" s="169"/>
      <c r="H72" s="169"/>
      <c r="I72" s="169"/>
      <c r="J72" s="169"/>
      <c r="K72" s="169"/>
      <c r="L72" s="169"/>
    </row>
    <row r="73" spans="2:16" x14ac:dyDescent="0.25">
      <c r="B73" s="169"/>
      <c r="C73" s="169"/>
      <c r="D73" s="169"/>
      <c r="E73" s="169"/>
      <c r="F73" s="169"/>
      <c r="G73" s="169"/>
      <c r="H73" s="169"/>
      <c r="I73" s="169"/>
      <c r="J73" s="169"/>
      <c r="K73" s="169"/>
      <c r="L73" s="169"/>
    </row>
    <row r="74" spans="2:16" x14ac:dyDescent="0.25">
      <c r="B74" s="169"/>
      <c r="C74" s="169"/>
      <c r="D74" s="169"/>
      <c r="E74" s="169"/>
      <c r="F74" s="169"/>
      <c r="G74" s="169"/>
      <c r="H74" s="169"/>
      <c r="I74" s="169"/>
      <c r="J74" s="169"/>
      <c r="K74" s="169"/>
      <c r="L74" s="169"/>
    </row>
    <row r="75" spans="2:16" x14ac:dyDescent="0.25">
      <c r="B75" s="171"/>
      <c r="C75" s="171"/>
      <c r="D75" s="171"/>
      <c r="E75" s="171"/>
      <c r="F75" s="171"/>
      <c r="G75" s="171"/>
      <c r="H75" s="169"/>
      <c r="I75" s="169"/>
      <c r="J75" s="169"/>
      <c r="K75" s="169"/>
      <c r="L75" s="169"/>
    </row>
    <row r="76" spans="2:16" x14ac:dyDescent="0.25">
      <c r="B76" s="164"/>
      <c r="C76" s="164"/>
      <c r="D76" s="164"/>
      <c r="E76" s="164"/>
      <c r="F76" s="164"/>
      <c r="G76" s="164"/>
      <c r="H76" s="164"/>
      <c r="I76" s="164"/>
      <c r="J76" s="164"/>
    </row>
    <row r="77" spans="2:16" x14ac:dyDescent="0.25">
      <c r="B77" s="164"/>
      <c r="C77" s="164"/>
      <c r="D77" s="164"/>
      <c r="E77" s="164"/>
      <c r="F77" s="164"/>
      <c r="G77" s="164"/>
      <c r="H77" s="164"/>
      <c r="I77" s="164"/>
      <c r="J77" s="164"/>
    </row>
    <row r="78" spans="2:16" s="178" customFormat="1" x14ac:dyDescent="0.25">
      <c r="B78" s="177"/>
      <c r="C78" s="177"/>
      <c r="D78" s="177"/>
      <c r="E78" s="177"/>
      <c r="F78" s="177"/>
      <c r="G78" s="177"/>
      <c r="H78" s="177"/>
      <c r="I78" s="177"/>
      <c r="J78" s="177"/>
      <c r="M78" s="5"/>
      <c r="N78" s="5"/>
      <c r="O78" s="5"/>
      <c r="P78" s="5"/>
    </row>
    <row r="79" spans="2:16" s="6" customFormat="1" x14ac:dyDescent="0.25">
      <c r="B79" s="179"/>
      <c r="C79" s="179"/>
      <c r="D79" s="179"/>
      <c r="E79" s="179"/>
      <c r="F79" s="179"/>
      <c r="G79" s="179"/>
      <c r="H79" s="179"/>
      <c r="I79" s="179"/>
      <c r="J79" s="179"/>
      <c r="M79" s="5"/>
      <c r="N79" s="5"/>
      <c r="O79" s="5"/>
      <c r="P79" s="5"/>
    </row>
    <row r="80" spans="2:16" s="6" customFormat="1" x14ac:dyDescent="0.25">
      <c r="B80" s="179"/>
      <c r="C80" s="179"/>
      <c r="D80" s="179"/>
      <c r="E80" s="179"/>
      <c r="F80" s="179"/>
      <c r="G80" s="179"/>
      <c r="H80" s="179"/>
      <c r="I80" s="179"/>
      <c r="J80" s="179"/>
      <c r="M80" s="5"/>
      <c r="N80" s="5"/>
      <c r="O80" s="5"/>
      <c r="P80" s="5"/>
    </row>
    <row r="81" spans="1:16" s="6" customFormat="1" x14ac:dyDescent="0.25">
      <c r="B81" s="179"/>
      <c r="C81" s="179"/>
      <c r="D81" s="179"/>
      <c r="E81" s="179"/>
      <c r="F81" s="179"/>
      <c r="G81" s="179"/>
      <c r="H81" s="179"/>
      <c r="I81" s="179"/>
      <c r="J81" s="179"/>
      <c r="M81" s="5"/>
      <c r="N81" s="5"/>
      <c r="O81" s="5"/>
      <c r="P81" s="5"/>
    </row>
    <row r="82" spans="1:16" s="6" customFormat="1" x14ac:dyDescent="0.25">
      <c r="B82" s="179"/>
      <c r="C82" s="179"/>
      <c r="D82" s="179"/>
      <c r="E82" s="179"/>
      <c r="F82" s="179"/>
      <c r="G82" s="179"/>
      <c r="H82" s="179"/>
      <c r="I82" s="179"/>
      <c r="J82" s="179"/>
      <c r="M82" s="5"/>
      <c r="N82" s="5"/>
      <c r="O82" s="5"/>
      <c r="P82" s="5"/>
    </row>
    <row r="83" spans="1:16" s="6" customFormat="1" x14ac:dyDescent="0.25">
      <c r="B83" s="179"/>
      <c r="C83" s="179"/>
      <c r="D83" s="179"/>
      <c r="E83" s="179"/>
      <c r="F83" s="179"/>
      <c r="G83" s="179"/>
      <c r="H83" s="179"/>
      <c r="I83" s="179"/>
      <c r="J83" s="179"/>
      <c r="M83" s="5"/>
      <c r="N83" s="5"/>
      <c r="O83" s="5"/>
      <c r="P83" s="5"/>
    </row>
    <row r="84" spans="1:16" s="6" customFormat="1" x14ac:dyDescent="0.25">
      <c r="B84" s="179"/>
      <c r="C84" s="179"/>
      <c r="D84" s="179"/>
      <c r="E84" s="179"/>
      <c r="F84" s="179"/>
      <c r="G84" s="179"/>
      <c r="H84" s="179"/>
      <c r="I84" s="179"/>
      <c r="J84" s="179"/>
      <c r="M84" s="5"/>
      <c r="N84" s="5"/>
      <c r="O84" s="5"/>
      <c r="P84" s="5"/>
    </row>
    <row r="85" spans="1:16" s="6" customFormat="1" x14ac:dyDescent="0.25">
      <c r="A85" s="170"/>
      <c r="B85" s="85"/>
      <c r="C85" s="85"/>
      <c r="D85" s="85"/>
      <c r="E85" s="85"/>
      <c r="F85" s="85"/>
      <c r="G85" s="85"/>
      <c r="H85" s="85"/>
      <c r="I85" s="85"/>
      <c r="J85" s="85"/>
      <c r="K85" s="85"/>
      <c r="L85" s="85"/>
      <c r="M85" s="5"/>
      <c r="N85" s="5"/>
      <c r="O85" s="5"/>
      <c r="P85" s="5"/>
    </row>
    <row r="86" spans="1:16" ht="18" x14ac:dyDescent="0.4">
      <c r="A86" s="170"/>
      <c r="B86" s="180"/>
      <c r="C86" s="180"/>
      <c r="D86" s="180"/>
      <c r="E86" s="180"/>
      <c r="F86" s="180"/>
      <c r="G86" s="180"/>
      <c r="H86" s="180"/>
      <c r="I86" s="180"/>
      <c r="J86" s="180"/>
      <c r="K86" s="180"/>
      <c r="L86" s="180"/>
    </row>
    <row r="87" spans="1:16" x14ac:dyDescent="0.25">
      <c r="B87" s="85"/>
      <c r="C87" s="85"/>
      <c r="D87" s="85"/>
      <c r="E87" s="85"/>
      <c r="F87" s="85"/>
      <c r="G87" s="85"/>
      <c r="H87" s="85"/>
      <c r="I87" s="85"/>
      <c r="J87" s="85"/>
      <c r="K87" s="85"/>
      <c r="L87" s="85"/>
    </row>
    <row r="88" spans="1:16" x14ac:dyDescent="0.25">
      <c r="B88" s="164"/>
      <c r="C88" s="164"/>
      <c r="D88" s="164"/>
      <c r="E88" s="164"/>
      <c r="F88" s="164"/>
      <c r="G88" s="164"/>
      <c r="H88" s="164"/>
      <c r="I88" s="164"/>
      <c r="J88" s="164"/>
    </row>
    <row r="89" spans="1:16" x14ac:dyDescent="0.25">
      <c r="A89" s="181"/>
      <c r="B89" s="164"/>
      <c r="C89" s="164"/>
      <c r="D89" s="164"/>
      <c r="E89" s="164"/>
      <c r="F89" s="164"/>
      <c r="G89" s="164"/>
      <c r="H89" s="164"/>
      <c r="I89" s="164"/>
      <c r="J89" s="164"/>
    </row>
    <row r="90" spans="1:16" x14ac:dyDescent="0.25">
      <c r="A90" s="170"/>
      <c r="B90" s="85"/>
      <c r="C90" s="85"/>
      <c r="D90" s="85"/>
      <c r="E90" s="85"/>
      <c r="F90" s="85"/>
      <c r="G90" s="85"/>
      <c r="H90" s="85"/>
      <c r="I90" s="85"/>
      <c r="J90" s="85"/>
      <c r="K90" s="85"/>
      <c r="L90" s="85"/>
    </row>
    <row r="91" spans="1:16" ht="18" x14ac:dyDescent="0.4">
      <c r="A91" s="170"/>
      <c r="B91" s="180"/>
      <c r="C91" s="180"/>
      <c r="D91" s="180"/>
      <c r="E91" s="180"/>
      <c r="F91" s="180"/>
      <c r="G91" s="180"/>
      <c r="H91" s="180"/>
      <c r="I91" s="180"/>
      <c r="J91" s="180"/>
      <c r="K91" s="180"/>
      <c r="L91" s="180"/>
    </row>
    <row r="92" spans="1:16" x14ac:dyDescent="0.25">
      <c r="B92" s="85"/>
      <c r="C92" s="85"/>
      <c r="D92" s="85"/>
      <c r="E92" s="85"/>
      <c r="F92" s="85"/>
      <c r="G92" s="85"/>
      <c r="H92" s="85"/>
      <c r="I92" s="85"/>
      <c r="J92" s="85"/>
      <c r="K92" s="85"/>
      <c r="L92" s="85"/>
    </row>
    <row r="93" spans="1:16" x14ac:dyDescent="0.25">
      <c r="B93" s="164"/>
      <c r="C93" s="164"/>
      <c r="D93" s="164"/>
      <c r="E93" s="164"/>
      <c r="F93" s="164"/>
      <c r="G93" s="164"/>
      <c r="H93" s="164"/>
      <c r="I93" s="164"/>
      <c r="J93" s="164"/>
    </row>
    <row r="94" spans="1:16" x14ac:dyDescent="0.25">
      <c r="B94" s="85"/>
      <c r="C94" s="85"/>
      <c r="D94" s="85"/>
      <c r="E94" s="85"/>
      <c r="F94" s="85"/>
      <c r="G94" s="85"/>
      <c r="H94" s="85"/>
      <c r="I94" s="85"/>
      <c r="J94" s="85"/>
      <c r="K94" s="85"/>
      <c r="L94" s="85"/>
    </row>
    <row r="95" spans="1:16" x14ac:dyDescent="0.25">
      <c r="B95" s="85"/>
      <c r="C95" s="85"/>
      <c r="D95" s="85"/>
      <c r="E95" s="85"/>
      <c r="F95" s="85"/>
      <c r="G95" s="85"/>
      <c r="H95" s="85"/>
      <c r="I95" s="85"/>
      <c r="J95" s="85"/>
      <c r="K95" s="85"/>
      <c r="L95" s="85"/>
    </row>
    <row r="96" spans="1:16" ht="18" x14ac:dyDescent="0.4">
      <c r="B96" s="180"/>
      <c r="C96" s="180"/>
      <c r="D96" s="180"/>
      <c r="E96" s="180"/>
      <c r="F96" s="180"/>
      <c r="G96" s="180"/>
      <c r="H96" s="180"/>
      <c r="I96" s="180"/>
      <c r="J96" s="180"/>
      <c r="K96" s="180"/>
      <c r="L96" s="180"/>
    </row>
    <row r="97" spans="1:12" x14ac:dyDescent="0.25">
      <c r="B97" s="85"/>
      <c r="C97" s="85"/>
      <c r="D97" s="85"/>
      <c r="E97" s="85"/>
      <c r="F97" s="85"/>
      <c r="G97" s="85"/>
      <c r="H97" s="85"/>
      <c r="I97" s="85"/>
      <c r="J97" s="85"/>
      <c r="K97" s="85"/>
      <c r="L97" s="85"/>
    </row>
    <row r="98" spans="1:12" x14ac:dyDescent="0.25">
      <c r="B98" s="164"/>
      <c r="C98" s="164"/>
      <c r="D98" s="164"/>
      <c r="E98" s="164"/>
      <c r="F98" s="164"/>
      <c r="G98" s="164"/>
      <c r="H98" s="164"/>
      <c r="I98" s="164"/>
      <c r="J98" s="164"/>
    </row>
    <row r="99" spans="1:12" x14ac:dyDescent="0.25">
      <c r="B99" s="85"/>
      <c r="C99" s="85"/>
      <c r="D99" s="85"/>
      <c r="E99" s="85"/>
      <c r="F99" s="85"/>
      <c r="G99" s="85"/>
      <c r="H99" s="85"/>
      <c r="I99" s="85"/>
      <c r="J99" s="85"/>
      <c r="K99" s="85"/>
      <c r="L99" s="85"/>
    </row>
    <row r="100" spans="1:12" x14ac:dyDescent="0.25">
      <c r="B100" s="85"/>
      <c r="C100" s="85"/>
      <c r="D100" s="85"/>
      <c r="E100" s="85"/>
      <c r="F100" s="85"/>
      <c r="G100" s="85"/>
      <c r="H100" s="85"/>
      <c r="I100" s="85"/>
      <c r="J100" s="85"/>
      <c r="K100" s="85"/>
      <c r="L100" s="85"/>
    </row>
    <row r="101" spans="1:12" x14ac:dyDescent="0.25">
      <c r="B101" s="169"/>
      <c r="C101" s="169"/>
      <c r="D101" s="169"/>
      <c r="E101" s="169"/>
      <c r="F101" s="169"/>
      <c r="G101" s="169"/>
      <c r="H101" s="169"/>
      <c r="I101" s="169"/>
      <c r="J101" s="169"/>
      <c r="K101" s="169"/>
      <c r="L101" s="169"/>
    </row>
    <row r="102" spans="1:12" ht="18" x14ac:dyDescent="0.4">
      <c r="B102" s="172"/>
      <c r="C102" s="172"/>
      <c r="D102" s="172"/>
      <c r="E102" s="172"/>
      <c r="F102" s="172"/>
      <c r="G102" s="172"/>
      <c r="H102" s="172"/>
      <c r="I102" s="172"/>
      <c r="J102" s="172"/>
      <c r="K102" s="172"/>
      <c r="L102" s="172"/>
    </row>
    <row r="103" spans="1:12" x14ac:dyDescent="0.25">
      <c r="B103" s="85"/>
      <c r="C103" s="85"/>
      <c r="D103" s="85"/>
      <c r="E103" s="85"/>
      <c r="F103" s="85"/>
      <c r="G103" s="85"/>
      <c r="H103" s="85"/>
      <c r="I103" s="85"/>
      <c r="J103" s="85"/>
      <c r="K103" s="85"/>
      <c r="L103" s="85"/>
    </row>
    <row r="104" spans="1:12" x14ac:dyDescent="0.25">
      <c r="B104" s="164"/>
      <c r="C104" s="164"/>
      <c r="D104" s="164"/>
      <c r="E104" s="164"/>
      <c r="F104" s="164"/>
      <c r="G104" s="164"/>
      <c r="H104" s="164"/>
      <c r="I104" s="164"/>
      <c r="J104" s="164"/>
    </row>
    <row r="105" spans="1:12" x14ac:dyDescent="0.25">
      <c r="B105" s="85"/>
      <c r="C105" s="85"/>
      <c r="D105" s="85"/>
      <c r="E105" s="85"/>
      <c r="F105" s="85"/>
      <c r="G105" s="85"/>
      <c r="H105" s="85"/>
      <c r="I105" s="85"/>
      <c r="J105" s="85"/>
      <c r="K105" s="85"/>
      <c r="L105" s="85"/>
    </row>
    <row r="106" spans="1:12" x14ac:dyDescent="0.25">
      <c r="B106" s="164"/>
      <c r="C106" s="164"/>
      <c r="D106" s="164"/>
      <c r="E106" s="164"/>
      <c r="F106" s="164"/>
      <c r="G106" s="164"/>
      <c r="H106" s="164"/>
      <c r="I106" s="164"/>
      <c r="J106" s="164"/>
    </row>
    <row r="107" spans="1:12" x14ac:dyDescent="0.25">
      <c r="B107" s="85"/>
      <c r="C107" s="85"/>
      <c r="D107" s="85"/>
      <c r="E107" s="85"/>
      <c r="F107" s="85"/>
      <c r="G107" s="85"/>
      <c r="H107" s="85"/>
      <c r="I107" s="85"/>
      <c r="J107" s="85"/>
      <c r="K107" s="85"/>
      <c r="L107" s="85"/>
    </row>
    <row r="109" spans="1:12" x14ac:dyDescent="0.25">
      <c r="B109" s="85"/>
      <c r="C109" s="85"/>
      <c r="D109" s="85"/>
      <c r="E109" s="85"/>
      <c r="F109" s="85"/>
      <c r="G109" s="85"/>
      <c r="H109" s="85"/>
      <c r="I109" s="85"/>
      <c r="J109" s="85"/>
      <c r="K109" s="85"/>
      <c r="L109" s="85"/>
    </row>
    <row r="110" spans="1:12" x14ac:dyDescent="0.25">
      <c r="A110" s="170"/>
      <c r="B110" s="85"/>
      <c r="C110" s="85"/>
      <c r="D110" s="85"/>
      <c r="E110" s="85"/>
      <c r="F110" s="85"/>
      <c r="G110" s="85"/>
      <c r="H110" s="85"/>
      <c r="I110" s="85"/>
      <c r="J110" s="85"/>
      <c r="K110" s="85"/>
      <c r="L110" s="85"/>
    </row>
    <row r="111" spans="1:12" ht="18" x14ac:dyDescent="0.4">
      <c r="A111" s="170"/>
      <c r="B111" s="180"/>
      <c r="C111" s="180"/>
      <c r="D111" s="180"/>
      <c r="E111" s="180"/>
      <c r="F111" s="180"/>
      <c r="G111" s="180"/>
      <c r="H111" s="180"/>
      <c r="I111" s="180"/>
      <c r="J111" s="180"/>
      <c r="K111" s="180"/>
      <c r="L111" s="180"/>
    </row>
    <row r="112" spans="1:12" x14ac:dyDescent="0.25">
      <c r="B112" s="85"/>
      <c r="C112" s="85"/>
      <c r="D112" s="85"/>
      <c r="E112" s="85"/>
      <c r="F112" s="85"/>
      <c r="G112" s="85"/>
      <c r="H112" s="85"/>
      <c r="I112" s="85"/>
      <c r="J112" s="85"/>
      <c r="K112" s="85"/>
      <c r="L112" s="85"/>
    </row>
    <row r="114" spans="2:12" x14ac:dyDescent="0.25">
      <c r="B114" s="58"/>
      <c r="C114" s="58"/>
      <c r="D114" s="58"/>
      <c r="E114" s="58"/>
      <c r="F114" s="58"/>
      <c r="G114" s="58"/>
      <c r="H114" s="58"/>
      <c r="I114" s="58"/>
      <c r="J114" s="58"/>
      <c r="K114" s="58"/>
      <c r="L114" s="58"/>
    </row>
    <row r="116" spans="2:12" x14ac:dyDescent="0.25">
      <c r="B116" s="85"/>
      <c r="C116" s="85"/>
      <c r="D116" s="85"/>
      <c r="E116" s="85"/>
      <c r="F116" s="85"/>
      <c r="G116" s="85"/>
      <c r="H116" s="85"/>
      <c r="I116" s="85"/>
      <c r="J116" s="85"/>
      <c r="K116" s="85"/>
      <c r="L116" s="85"/>
    </row>
    <row r="118" spans="2:12" x14ac:dyDescent="0.25">
      <c r="B118" s="85"/>
      <c r="C118" s="85"/>
      <c r="D118" s="85"/>
      <c r="E118" s="85"/>
      <c r="F118" s="85"/>
      <c r="G118" s="85"/>
      <c r="H118" s="85"/>
      <c r="I118" s="85"/>
      <c r="J118" s="85"/>
      <c r="K118" s="85"/>
      <c r="L118" s="85"/>
    </row>
    <row r="120" spans="2:12" x14ac:dyDescent="0.25">
      <c r="B120" s="85"/>
      <c r="C120" s="85"/>
      <c r="D120" s="85"/>
      <c r="E120" s="85"/>
      <c r="F120" s="85"/>
      <c r="G120" s="85"/>
      <c r="H120" s="85"/>
      <c r="I120" s="85"/>
      <c r="J120" s="85"/>
      <c r="K120" s="85"/>
      <c r="L120" s="85"/>
    </row>
    <row r="122" spans="2:12" ht="18" x14ac:dyDescent="0.4">
      <c r="B122" s="182"/>
      <c r="C122" s="182"/>
      <c r="D122" s="182"/>
      <c r="E122" s="182"/>
      <c r="F122" s="182"/>
      <c r="G122" s="182"/>
      <c r="H122" s="182"/>
      <c r="I122" s="182"/>
      <c r="J122" s="182"/>
      <c r="K122" s="182"/>
      <c r="L122" s="182"/>
    </row>
    <row r="127" spans="2:12" x14ac:dyDescent="0.25">
      <c r="B127" s="58"/>
      <c r="C127" s="58"/>
      <c r="D127" s="58"/>
      <c r="E127" s="58"/>
      <c r="F127" s="58"/>
      <c r="G127" s="58"/>
      <c r="H127" s="58"/>
      <c r="I127" s="58"/>
      <c r="J127" s="58"/>
      <c r="K127" s="58"/>
      <c r="L127" s="58"/>
    </row>
    <row r="128" spans="2:12" x14ac:dyDescent="0.25">
      <c r="B128" s="58"/>
      <c r="C128" s="58"/>
      <c r="D128" s="58"/>
      <c r="E128" s="58"/>
      <c r="F128" s="58"/>
      <c r="G128" s="58"/>
      <c r="H128" s="58"/>
      <c r="I128" s="58"/>
      <c r="J128" s="58"/>
      <c r="K128" s="58"/>
      <c r="L128" s="58"/>
    </row>
  </sheetData>
  <mergeCells count="5">
    <mergeCell ref="A1:K1"/>
    <mergeCell ref="A2:K2"/>
    <mergeCell ref="A3:K3"/>
    <mergeCell ref="A4:K4"/>
    <mergeCell ref="A5:K5"/>
  </mergeCells>
  <printOptions horizontalCentered="1"/>
  <pageMargins left="0.75" right="0.75" top="1.75" bottom="0.5" header="0.75" footer="0.25"/>
  <pageSetup scale="45" orientation="landscape"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39997558519241921"/>
    <pageSetUpPr fitToPage="1"/>
  </sheetPr>
  <dimension ref="A1:P55"/>
  <sheetViews>
    <sheetView view="pageBreakPreview" zoomScale="60" zoomScaleNormal="100" workbookViewId="0">
      <selection sqref="A1:H1"/>
    </sheetView>
  </sheetViews>
  <sheetFormatPr defaultColWidth="9.140625" defaultRowHeight="15.75" x14ac:dyDescent="0.25"/>
  <cols>
    <col min="1" max="1" width="68.140625" style="5" bestFit="1" customWidth="1"/>
    <col min="2" max="2" width="18.42578125" style="5" bestFit="1" customWidth="1"/>
    <col min="3" max="3" width="18.42578125" style="5" customWidth="1"/>
    <col min="4" max="4" width="16.42578125" style="5" customWidth="1"/>
    <col min="5" max="5" width="16.85546875" style="5" customWidth="1"/>
    <col min="6" max="6" width="18.42578125" style="5" bestFit="1" customWidth="1"/>
    <col min="7" max="9" width="17.7109375" style="5" customWidth="1"/>
    <col min="10" max="10" width="17.42578125" style="5" bestFit="1" customWidth="1"/>
    <col min="11" max="11" width="9.42578125" style="5" bestFit="1" customWidth="1"/>
    <col min="12" max="12" width="9.28515625" style="5" bestFit="1" customWidth="1"/>
    <col min="13" max="13" width="20.5703125" style="5" customWidth="1"/>
    <col min="14" max="14" width="9.140625" style="5"/>
    <col min="15" max="15" width="17.85546875" style="5" customWidth="1"/>
    <col min="16" max="16" width="9.28515625" style="5" bestFit="1" customWidth="1"/>
    <col min="17" max="17" width="9.140625" style="5"/>
    <col min="18" max="18" width="15.85546875" style="5" customWidth="1"/>
    <col min="19" max="19" width="9.28515625" style="5" bestFit="1" customWidth="1"/>
    <col min="20" max="20" width="17.5703125" style="5" bestFit="1" customWidth="1"/>
    <col min="21" max="21" width="15.42578125" style="5" bestFit="1" customWidth="1"/>
    <col min="22" max="22" width="12.7109375" style="5" bestFit="1" customWidth="1"/>
    <col min="23" max="16384" width="9.140625" style="5"/>
  </cols>
  <sheetData>
    <row r="1" spans="1:15" x14ac:dyDescent="0.25">
      <c r="A1" s="233" t="str">
        <f>Index!A5</f>
        <v>LOUISVILLE GAS AND ELECTRIC COMPANY</v>
      </c>
      <c r="B1" s="237"/>
      <c r="C1" s="237"/>
      <c r="D1" s="237"/>
      <c r="E1" s="237"/>
      <c r="F1" s="237"/>
      <c r="G1" s="237"/>
      <c r="H1" s="237"/>
    </row>
    <row r="2" spans="1:15" x14ac:dyDescent="0.25">
      <c r="A2" s="237" t="str">
        <f>Index!A7</f>
        <v>CASE NO. 2018-00295</v>
      </c>
      <c r="B2" s="237"/>
      <c r="C2" s="237"/>
      <c r="D2" s="237"/>
      <c r="E2" s="237"/>
      <c r="F2" s="237"/>
      <c r="G2" s="237"/>
      <c r="H2" s="237"/>
    </row>
    <row r="3" spans="1:15" x14ac:dyDescent="0.25">
      <c r="A3" s="237" t="str">
        <f>Index!C21</f>
        <v>Summary of Proposed Gas Revenue Increase</v>
      </c>
      <c r="B3" s="237"/>
      <c r="C3" s="237"/>
      <c r="D3" s="237"/>
      <c r="E3" s="237"/>
      <c r="F3" s="237"/>
      <c r="G3" s="237"/>
      <c r="H3" s="237"/>
    </row>
    <row r="4" spans="1:15" x14ac:dyDescent="0.25">
      <c r="A4" s="237" t="str">
        <f>Index!D13</f>
        <v>For the 12 Months Ended April 30, 2020</v>
      </c>
      <c r="B4" s="237"/>
      <c r="C4" s="237"/>
      <c r="D4" s="237"/>
      <c r="E4" s="237"/>
      <c r="F4" s="237"/>
      <c r="G4" s="237"/>
      <c r="H4" s="237"/>
    </row>
    <row r="5" spans="1:15" x14ac:dyDescent="0.25">
      <c r="A5" s="239" t="str">
        <f>'Stipulation Sch M-2.1-G'!A5:F5</f>
        <v>Gas Operations</v>
      </c>
      <c r="B5" s="239"/>
      <c r="C5" s="239"/>
      <c r="D5" s="239"/>
      <c r="E5" s="239"/>
      <c r="F5" s="239"/>
      <c r="G5" s="239"/>
      <c r="H5" s="239"/>
    </row>
    <row r="7" spans="1:15" x14ac:dyDescent="0.25">
      <c r="A7" s="14" t="str">
        <f>'Stipulation Sch M-2.1-G'!A10</f>
        <v>DATA:  ____ BASE PERIOD  __X__  FORECAST PERIOD</v>
      </c>
      <c r="B7" s="122"/>
      <c r="C7" s="122"/>
      <c r="D7" s="122"/>
      <c r="E7" s="122"/>
      <c r="G7" s="123"/>
      <c r="H7" s="123" t="str">
        <f>"Schedule "&amp;Index!A21</f>
        <v>Schedule M-2.3-G</v>
      </c>
      <c r="I7" s="122"/>
      <c r="J7" s="124"/>
      <c r="K7" s="125"/>
      <c r="L7" s="125"/>
      <c r="M7" s="125"/>
      <c r="N7" s="125"/>
      <c r="O7" s="125"/>
    </row>
    <row r="8" spans="1:15" x14ac:dyDescent="0.25">
      <c r="A8" s="18" t="str">
        <f>'Stipulation Sch M-2.1-G'!A11</f>
        <v>TYPE OF FILING: __X__ ORIGINAL  _____ UPDATED  _____ REVISED</v>
      </c>
      <c r="B8" s="122"/>
      <c r="C8" s="122"/>
      <c r="D8" s="122"/>
      <c r="E8" s="122"/>
      <c r="G8" s="123"/>
      <c r="H8" s="126">
        <f>'Stipulation Sch M-2.1-G'!F11</f>
        <v>0</v>
      </c>
      <c r="I8" s="122"/>
      <c r="J8" s="124"/>
    </row>
    <row r="9" spans="1:15" x14ac:dyDescent="0.25">
      <c r="A9" s="18" t="str">
        <f>'Stipulation Sch M-2.1-G'!A12</f>
        <v>WORK PAPER REFERENCE NO(S):</v>
      </c>
      <c r="B9" s="122"/>
      <c r="C9" s="122"/>
      <c r="D9" s="122"/>
      <c r="E9" s="122"/>
      <c r="G9" s="126"/>
      <c r="H9" s="126" t="s">
        <v>164</v>
      </c>
      <c r="I9" s="122"/>
      <c r="J9" s="124"/>
    </row>
    <row r="10" spans="1:15" x14ac:dyDescent="0.25">
      <c r="A10" s="124"/>
      <c r="B10" s="124"/>
      <c r="C10" s="124"/>
      <c r="D10" s="124"/>
      <c r="E10" s="124"/>
      <c r="F10" s="124"/>
      <c r="G10" s="124"/>
      <c r="H10" s="124"/>
      <c r="I10" s="124"/>
      <c r="J10" s="124"/>
    </row>
    <row r="11" spans="1:15" x14ac:dyDescent="0.25">
      <c r="A11" s="127"/>
      <c r="B11" s="128"/>
      <c r="C11" s="128"/>
      <c r="D11" s="128"/>
      <c r="E11" s="128"/>
      <c r="F11" s="128" t="s">
        <v>10</v>
      </c>
      <c r="G11" s="128"/>
      <c r="H11" s="128"/>
      <c r="I11" s="124"/>
      <c r="J11" s="124"/>
    </row>
    <row r="12" spans="1:15" x14ac:dyDescent="0.25">
      <c r="A12" s="127"/>
      <c r="B12" s="128" t="s">
        <v>24</v>
      </c>
      <c r="C12" s="128" t="s">
        <v>8</v>
      </c>
      <c r="D12" s="128" t="s">
        <v>9</v>
      </c>
      <c r="E12" s="128" t="s">
        <v>42</v>
      </c>
      <c r="F12" s="128" t="s">
        <v>30</v>
      </c>
      <c r="G12" s="128"/>
      <c r="H12" s="128" t="s">
        <v>78</v>
      </c>
    </row>
    <row r="13" spans="1:15" ht="16.5" thickBot="1" x14ac:dyDescent="0.3">
      <c r="A13" s="129" t="s">
        <v>7</v>
      </c>
      <c r="B13" s="130" t="s">
        <v>6</v>
      </c>
      <c r="C13" s="130" t="s">
        <v>6</v>
      </c>
      <c r="D13" s="130" t="s">
        <v>6</v>
      </c>
      <c r="E13" s="130" t="s">
        <v>6</v>
      </c>
      <c r="F13" s="130" t="s">
        <v>6</v>
      </c>
      <c r="G13" s="130" t="s">
        <v>27</v>
      </c>
      <c r="H13" s="130" t="s">
        <v>31</v>
      </c>
      <c r="J13" s="1"/>
      <c r="K13" s="1"/>
      <c r="L13" s="1"/>
    </row>
    <row r="14" spans="1:15" x14ac:dyDescent="0.25">
      <c r="B14" s="131"/>
      <c r="C14" s="131"/>
      <c r="D14" s="131"/>
      <c r="E14" s="131"/>
      <c r="F14" s="131"/>
      <c r="G14" s="131"/>
      <c r="H14" s="131"/>
      <c r="J14" s="1"/>
      <c r="K14" s="1"/>
      <c r="L14" s="1"/>
    </row>
    <row r="15" spans="1:15" x14ac:dyDescent="0.25">
      <c r="A15" s="5" t="s">
        <v>154</v>
      </c>
      <c r="B15" s="202">
        <f>'Stipulation Sch M-2.3 Pg. 2-11'!I25</f>
        <v>128880299.93645123</v>
      </c>
      <c r="C15" s="202">
        <f>'Stipulation Sch M-2.3 Pg. 2-11'!I27</f>
        <v>78109569.334308967</v>
      </c>
      <c r="D15" s="202">
        <f>'Stipulation Sch M-2.3 Pg. 2-11'!I28</f>
        <v>1435561.3472547519</v>
      </c>
      <c r="E15" s="202">
        <f>'Stipulation Sch M-2.3 Pg. 2-11'!I29</f>
        <v>9542287.5096951965</v>
      </c>
      <c r="F15" s="202">
        <f>SUM(B15:E15)</f>
        <v>217967718.12771013</v>
      </c>
      <c r="G15" s="133">
        <f>'Stipulation Sch M-2.3 Pg. 2-11'!L33</f>
        <v>13741600.408023894</v>
      </c>
      <c r="H15" s="134">
        <f>'Stipulation Sch M-2.3 Pg. 2-11'!L34</f>
        <v>6.3044199967136921E-2</v>
      </c>
      <c r="J15" s="1"/>
      <c r="K15" s="1"/>
      <c r="L15" s="1"/>
    </row>
    <row r="16" spans="1:15" x14ac:dyDescent="0.25">
      <c r="B16" s="54"/>
      <c r="C16" s="54"/>
      <c r="D16" s="54"/>
      <c r="E16" s="54"/>
      <c r="F16" s="54"/>
      <c r="G16" s="133"/>
      <c r="H16" s="135"/>
      <c r="J16" s="1"/>
      <c r="K16" s="1"/>
      <c r="L16" s="1"/>
    </row>
    <row r="17" spans="1:12" x14ac:dyDescent="0.25">
      <c r="A17" s="5" t="s">
        <v>155</v>
      </c>
      <c r="B17" s="136">
        <f>'Stipulation Sch M-2.3 Pg. 2-11'!I50+'Stipulation Sch M-2.3 Pg. 2-11'!I66+'Stipulation Sch M-2.3 Pg. 2-11'!I73</f>
        <v>45966505.541628823</v>
      </c>
      <c r="C17" s="136">
        <f>'Stipulation Sch M-2.3 Pg. 2-11'!I68</f>
        <v>39681903.355606258</v>
      </c>
      <c r="D17" s="136">
        <f>'Stipulation Sch M-2.3 Pg. 2-11'!I69</f>
        <v>824766.32893977349</v>
      </c>
      <c r="E17" s="136">
        <f>'Stipulation Sch M-2.3 Pg. 2-11'!I70</f>
        <v>4021065.4253083072</v>
      </c>
      <c r="F17" s="202">
        <f>SUM(B17:E17)</f>
        <v>90494240.651483163</v>
      </c>
      <c r="G17" s="133">
        <f>'Stipulation Sch M-2.3 Pg. 2-11'!L77</f>
        <v>5703702.8875270337</v>
      </c>
      <c r="H17" s="135">
        <f>'Stipulation Sch M-2.3 Pg. 2-11'!L78</f>
        <v>6.3028352373202132E-2</v>
      </c>
      <c r="J17" s="1"/>
      <c r="K17" s="1"/>
      <c r="L17" s="1"/>
    </row>
    <row r="18" spans="1:12" x14ac:dyDescent="0.25">
      <c r="B18" s="136"/>
      <c r="C18" s="136"/>
      <c r="D18" s="136"/>
      <c r="E18" s="136"/>
      <c r="F18" s="136"/>
      <c r="G18" s="133"/>
      <c r="H18" s="135"/>
      <c r="J18" s="1"/>
      <c r="K18" s="1"/>
      <c r="L18" s="1"/>
    </row>
    <row r="19" spans="1:12" x14ac:dyDescent="0.25">
      <c r="A19" s="5" t="s">
        <v>156</v>
      </c>
      <c r="B19" s="136">
        <f>'Stipulation Sch M-2.3 Pg. 2-11'!I93+'Stipulation Sch M-2.3 Pg. 2-11'!I107+'Stipulation Sch M-2.3 Pg. 2-11'!I114</f>
        <v>5085634.5715944665</v>
      </c>
      <c r="C19" s="136">
        <f>'Stipulation Sch M-2.3 Pg. 2-11'!I109</f>
        <v>5367345.912275007</v>
      </c>
      <c r="D19" s="136">
        <f>'Stipulation Sch M-2.3 Pg. 2-11'!I110</f>
        <v>0</v>
      </c>
      <c r="E19" s="136">
        <f>'Stipulation Sch M-2.3 Pg. 2-11'!I111</f>
        <v>514378.39326577989</v>
      </c>
      <c r="F19" s="202">
        <f>SUM(B19:E19)</f>
        <v>10967358.877135254</v>
      </c>
      <c r="G19" s="133">
        <f>'Stipulation Sch M-2.3 Pg. 2-11'!L118</f>
        <v>-74.137500001117587</v>
      </c>
      <c r="H19" s="135">
        <f>'Stipulation Sch M-2.3 Pg. 2-11'!L119</f>
        <v>-6.7598316815983306E-6</v>
      </c>
      <c r="J19" s="1"/>
      <c r="K19" s="1"/>
      <c r="L19" s="1"/>
    </row>
    <row r="20" spans="1:12" x14ac:dyDescent="0.25">
      <c r="B20" s="136"/>
      <c r="C20" s="136"/>
      <c r="D20" s="136"/>
      <c r="E20" s="136"/>
      <c r="F20" s="136"/>
      <c r="G20" s="133"/>
      <c r="H20" s="135"/>
      <c r="J20" s="1"/>
      <c r="K20" s="1"/>
      <c r="L20" s="1"/>
    </row>
    <row r="21" spans="1:12" x14ac:dyDescent="0.25">
      <c r="A21" s="5" t="s">
        <v>157</v>
      </c>
      <c r="B21" s="136">
        <f>'Stipulation Sch M-2.3 Pg. 2-11'!I129+'Stipulation Sch M-2.3 Pg. 2-11'!I138+'Stipulation Sch M-2.3 Pg. 2-11'!I145</f>
        <v>266405.70029143896</v>
      </c>
      <c r="C21" s="136">
        <f>'Stipulation Sch M-2.3 Pg. 2-11'!I140</f>
        <v>517528.54390253476</v>
      </c>
      <c r="D21" s="136">
        <f>'Stipulation Sch M-2.3 Pg. 2-11'!I141</f>
        <v>8718.2144299590746</v>
      </c>
      <c r="E21" s="136">
        <f>'Stipulation Sch M-2.3 Pg. 2-11'!I142</f>
        <v>40082.111565497587</v>
      </c>
      <c r="F21" s="202">
        <f>SUM(B21:E21)</f>
        <v>832734.57018943038</v>
      </c>
      <c r="G21" s="136">
        <f>'Stipulation Sch M-2.3 Pg. 2-11'!L149</f>
        <v>0</v>
      </c>
      <c r="H21" s="137">
        <f>'Stipulation Sch M-2.3 Pg. 2-11'!L150</f>
        <v>0</v>
      </c>
      <c r="J21" s="1"/>
      <c r="K21" s="1"/>
      <c r="L21" s="1"/>
    </row>
    <row r="22" spans="1:12" x14ac:dyDescent="0.25">
      <c r="B22" s="136"/>
      <c r="C22" s="136"/>
      <c r="D22" s="136"/>
      <c r="E22" s="136"/>
      <c r="F22" s="136"/>
      <c r="G22" s="133"/>
      <c r="H22" s="135"/>
      <c r="J22" s="1"/>
      <c r="K22" s="1"/>
      <c r="L22" s="1"/>
    </row>
    <row r="23" spans="1:12" x14ac:dyDescent="0.25">
      <c r="A23" s="5" t="s">
        <v>158</v>
      </c>
      <c r="B23" s="136">
        <f>'Stipulation Sch M-2.3 Pg. 2-11'!I162+'Stipulation Sch M-2.3 Pg. 2-11'!I169</f>
        <v>6471826.6771343425</v>
      </c>
      <c r="C23" s="136">
        <f>'Stipulation Sch M-2.3 Pg. 2-11'!I164</f>
        <v>0</v>
      </c>
      <c r="D23" s="136">
        <f>'Stipulation Sch M-2.3 Pg. 2-11'!I165</f>
        <v>0</v>
      </c>
      <c r="E23" s="136">
        <f>'Stipulation Sch M-2.3 Pg. 2-11'!I166</f>
        <v>80951.092134637074</v>
      </c>
      <c r="F23" s="202">
        <f>SUM(B23:E23)</f>
        <v>6552777.7692689793</v>
      </c>
      <c r="G23" s="136">
        <f>'Stipulation Sch M-2.3 Pg. 2-11'!L172</f>
        <v>-85.025622844696045</v>
      </c>
      <c r="H23" s="137">
        <f>'Stipulation Sch M-2.3 Pg. 2-11'!L173</f>
        <v>-1.2975508378057113E-5</v>
      </c>
      <c r="J23" s="1"/>
      <c r="K23" s="1"/>
      <c r="L23" s="1"/>
    </row>
    <row r="24" spans="1:12" x14ac:dyDescent="0.25">
      <c r="B24" s="136"/>
      <c r="C24" s="136"/>
      <c r="D24" s="136"/>
      <c r="E24" s="136"/>
      <c r="F24" s="136"/>
      <c r="G24" s="133"/>
      <c r="H24" s="135"/>
      <c r="J24" s="1"/>
      <c r="K24" s="1"/>
      <c r="L24" s="1"/>
    </row>
    <row r="25" spans="1:12" x14ac:dyDescent="0.25">
      <c r="A25" s="5" t="s">
        <v>28</v>
      </c>
      <c r="B25" s="136">
        <f>'Stipulation Sch M-2.3 Pg. 2-11'!I185</f>
        <v>2295607.4156800001</v>
      </c>
      <c r="C25" s="136">
        <f>'Stipulation Sch M-2.3 Pg. 2-11'!I187</f>
        <v>1470692.3614855495</v>
      </c>
      <c r="D25" s="136">
        <f>'Stipulation Sch M-2.3 Pg. 2-11'!I188</f>
        <v>0</v>
      </c>
      <c r="E25" s="136">
        <f>'Stipulation Sch M-2.3 Pg. 2-11'!I189</f>
        <v>0</v>
      </c>
      <c r="F25" s="202">
        <f>SUM(B25:E25)</f>
        <v>3766299.7771655498</v>
      </c>
      <c r="G25" s="136">
        <f>'Stipulation Sch M-2.3 Pg. 2-11'!L193</f>
        <v>0</v>
      </c>
      <c r="H25" s="134">
        <f>'Stipulation Sch M-2.3 Pg. 2-11'!L194</f>
        <v>0</v>
      </c>
      <c r="J25" s="1"/>
      <c r="K25" s="1"/>
      <c r="L25" s="1"/>
    </row>
    <row r="26" spans="1:12" x14ac:dyDescent="0.25">
      <c r="B26" s="136"/>
      <c r="C26" s="136"/>
      <c r="D26" s="136"/>
      <c r="E26" s="136"/>
      <c r="F26" s="136"/>
      <c r="G26" s="136"/>
      <c r="H26" s="137"/>
      <c r="J26" s="1"/>
      <c r="K26" s="1"/>
      <c r="L26" s="1"/>
    </row>
    <row r="27" spans="1:12" x14ac:dyDescent="0.25">
      <c r="A27" s="5" t="s">
        <v>159</v>
      </c>
      <c r="B27" s="136">
        <f>'Stipulation Sch M-2.3 Pg. 2-11'!I206+'Stipulation Sch M-2.3 Pg. 2-11'!I217+'Stipulation Sch M-2.3 Pg. 2-11'!I224</f>
        <v>15658.309999999998</v>
      </c>
      <c r="C27" s="136">
        <f>'Stipulation Sch M-2.3 Pg. 2-11'!I219</f>
        <v>29.948234424056107</v>
      </c>
      <c r="D27" s="136">
        <f>'Stipulation Sch M-2.3 Pg. 2-11'!I220</f>
        <v>0</v>
      </c>
      <c r="E27" s="136">
        <f>'Stipulation Sch M-2.3 Pg. 2-11'!I221</f>
        <v>835.5833203558268</v>
      </c>
      <c r="F27" s="202">
        <f>SUM(B27:E27)</f>
        <v>16523.84155477988</v>
      </c>
      <c r="G27" s="136">
        <f>ROUND('Stipulation Sch M-2.3 Pg. 2-11'!L228,0)</f>
        <v>0</v>
      </c>
      <c r="H27" s="137">
        <f>'Stipulation Sch M-2.3 Pg. 2-11'!L229</f>
        <v>2.7879739148581555E-8</v>
      </c>
      <c r="J27" s="1"/>
      <c r="K27" s="1"/>
      <c r="L27" s="1"/>
    </row>
    <row r="28" spans="1:12" x14ac:dyDescent="0.25">
      <c r="B28" s="136"/>
      <c r="C28" s="136"/>
      <c r="D28" s="136"/>
      <c r="E28" s="136"/>
      <c r="F28" s="136"/>
      <c r="G28" s="136"/>
      <c r="H28" s="137"/>
      <c r="J28" s="1"/>
      <c r="K28" s="1"/>
      <c r="L28" s="1"/>
    </row>
    <row r="29" spans="1:12" x14ac:dyDescent="0.25">
      <c r="A29" s="5" t="s">
        <v>151</v>
      </c>
      <c r="B29" s="136">
        <f>'Stipulation Sch M-2.3 Pg. 2-11'!I240</f>
        <v>34835.711977794148</v>
      </c>
      <c r="C29" s="136">
        <f>'Stipulation Sch M-2.3 Pg. 2-11'!I242</f>
        <v>6210.1068295250452</v>
      </c>
      <c r="D29" s="136">
        <f>'Stipulation Sch M-2.3 Pg. 2-11'!I243</f>
        <v>74.720687149941099</v>
      </c>
      <c r="E29" s="136">
        <f>'Stipulation Sch M-2.3 Pg. 2-11'!I244</f>
        <v>2345.8732430380942</v>
      </c>
      <c r="F29" s="202">
        <f>SUM(B29:E29)</f>
        <v>43466.412737507228</v>
      </c>
      <c r="G29" s="133">
        <f>'Stipulation Sch M-2.3 Pg. 2-11'!L248</f>
        <v>2760.9293599814991</v>
      </c>
      <c r="H29" s="134">
        <f>'Stipulation Sch M-2.3 Pg. 2-11'!L249</f>
        <v>6.3518684568121472E-2</v>
      </c>
      <c r="J29" s="1"/>
      <c r="K29" s="1"/>
      <c r="L29" s="1"/>
    </row>
    <row r="30" spans="1:12" x14ac:dyDescent="0.25">
      <c r="B30" s="136"/>
      <c r="C30" s="136"/>
      <c r="D30" s="136"/>
      <c r="E30" s="136"/>
      <c r="F30" s="202"/>
      <c r="G30" s="133"/>
      <c r="H30" s="134"/>
      <c r="J30" s="1"/>
      <c r="K30" s="1"/>
      <c r="L30" s="1"/>
    </row>
    <row r="31" spans="1:12" x14ac:dyDescent="0.25">
      <c r="A31" s="5" t="s">
        <v>152</v>
      </c>
      <c r="B31" s="136">
        <f>'Stipulation Sch M-2.3 Pg. 2-11'!I260</f>
        <v>0</v>
      </c>
      <c r="C31" s="136">
        <f>'Stipulation Sch M-2.3 Pg. 2-11'!I262</f>
        <v>0</v>
      </c>
      <c r="D31" s="136">
        <f>'Stipulation Sch M-2.3 Pg. 2-11'!I263</f>
        <v>0</v>
      </c>
      <c r="E31" s="136">
        <f>'Stipulation Sch M-2.3 Pg. 2-11'!I264</f>
        <v>0</v>
      </c>
      <c r="F31" s="202">
        <f>SUM(B31:E31)</f>
        <v>0</v>
      </c>
      <c r="G31" s="133">
        <f>'Stipulation Sch M-2.3 Pg. 2-11'!L268</f>
        <v>0</v>
      </c>
      <c r="H31" s="134">
        <f>'Stipulation Sch M-2.3 Pg. 2-11'!L269</f>
        <v>0</v>
      </c>
      <c r="J31" s="1"/>
      <c r="K31" s="1"/>
      <c r="L31" s="1"/>
    </row>
    <row r="32" spans="1:12" x14ac:dyDescent="0.25">
      <c r="B32" s="136"/>
      <c r="C32" s="136"/>
      <c r="D32" s="136"/>
      <c r="E32" s="136"/>
      <c r="F32" s="202"/>
      <c r="G32" s="133"/>
      <c r="H32" s="134"/>
      <c r="J32" s="1"/>
      <c r="K32" s="1"/>
      <c r="L32" s="1"/>
    </row>
    <row r="33" spans="1:12" x14ac:dyDescent="0.25">
      <c r="A33" s="5" t="s">
        <v>153</v>
      </c>
      <c r="B33" s="133">
        <f>'Stipulation Sch M-2.3 Pg. 2-11'!I281</f>
        <v>0</v>
      </c>
      <c r="C33" s="133">
        <f>'Stipulation Sch M-2.3 Pg. 2-11'!I283</f>
        <v>0</v>
      </c>
      <c r="D33" s="133">
        <f>'Stipulation Sch M-2.3 Pg. 2-11'!I284</f>
        <v>0</v>
      </c>
      <c r="E33" s="133">
        <f>'Stipulation Sch M-2.3 Pg. 2-11'!I285</f>
        <v>0</v>
      </c>
      <c r="F33" s="132">
        <f>SUM(B33:E33)</f>
        <v>0</v>
      </c>
      <c r="G33" s="133">
        <f>'Stipulation Sch M-2.3 Pg. 2-11'!L289</f>
        <v>0</v>
      </c>
      <c r="H33" s="134">
        <f>'Stipulation Sch M-2.3 Pg. 2-11'!L290</f>
        <v>0</v>
      </c>
      <c r="J33" s="1"/>
      <c r="K33" s="1"/>
      <c r="L33" s="1"/>
    </row>
    <row r="34" spans="1:12" x14ac:dyDescent="0.25">
      <c r="B34" s="131"/>
      <c r="C34" s="131"/>
      <c r="D34" s="131"/>
      <c r="E34" s="131"/>
      <c r="F34" s="54"/>
      <c r="G34" s="131"/>
      <c r="H34" s="131"/>
    </row>
    <row r="35" spans="1:12" x14ac:dyDescent="0.25">
      <c r="A35" s="5" t="s">
        <v>34</v>
      </c>
      <c r="B35" s="138">
        <f t="shared" ref="B35:D35" si="0">SUM(B14:B34)</f>
        <v>189016773.86475804</v>
      </c>
      <c r="C35" s="138">
        <f t="shared" si="0"/>
        <v>125153279.56264226</v>
      </c>
      <c r="D35" s="138">
        <f t="shared" si="0"/>
        <v>2269120.6113116345</v>
      </c>
      <c r="E35" s="138">
        <f>SUM(E14:E34)</f>
        <v>14201945.988532811</v>
      </c>
      <c r="F35" s="138">
        <f t="shared" ref="F35:G35" si="1">SUM(F14:F34)</f>
        <v>330641120.02724475</v>
      </c>
      <c r="G35" s="138">
        <f t="shared" si="1"/>
        <v>19447905.06178806</v>
      </c>
      <c r="H35" s="139">
        <f>G35/F35</f>
        <v>5.8818773237235458E-2</v>
      </c>
    </row>
    <row r="36" spans="1:12" x14ac:dyDescent="0.25">
      <c r="B36" s="131"/>
      <c r="C36" s="131"/>
      <c r="D36" s="131"/>
      <c r="E36" s="131"/>
      <c r="F36" s="54"/>
      <c r="G36" s="140"/>
      <c r="H36" s="137"/>
    </row>
    <row r="37" spans="1:12" x14ac:dyDescent="0.25">
      <c r="A37" s="203" t="str">
        <f>'Stipulation Sch M-2.1-G'!A39</f>
        <v>Late Payment Charges</v>
      </c>
      <c r="B37" s="141">
        <f>'Stipulation Sch M-2.1-G'!B39</f>
        <v>1065948.9200000004</v>
      </c>
      <c r="C37" s="54"/>
      <c r="D37" s="54"/>
      <c r="E37" s="54"/>
      <c r="F37" s="136">
        <f>B37</f>
        <v>1065948.9200000004</v>
      </c>
      <c r="G37" s="140">
        <f>'Stipulation Sch M-2.1-G'!D39</f>
        <v>-97753.410000000033</v>
      </c>
      <c r="H37" s="137"/>
    </row>
    <row r="38" spans="1:12" x14ac:dyDescent="0.25">
      <c r="A38" s="197" t="str">
        <f>'Stipulation Sch M-2.1-G'!A40</f>
        <v>Miscellaneous Service Revenue</v>
      </c>
      <c r="B38" s="141">
        <f>'Stipulation Sch M-2.1-G'!B40</f>
        <v>90991.793333333335</v>
      </c>
      <c r="C38" s="54"/>
      <c r="D38" s="54"/>
      <c r="E38" s="54"/>
      <c r="F38" s="136">
        <f t="shared" ref="F38:F40" si="2">B38</f>
        <v>90991.793333333335</v>
      </c>
      <c r="G38" s="140">
        <f>'Stipulation Sch M-2.1-G'!D40</f>
        <v>-20144</v>
      </c>
      <c r="H38" s="137"/>
    </row>
    <row r="39" spans="1:12" x14ac:dyDescent="0.25">
      <c r="A39" s="197" t="str">
        <f>'Stipulation Sch M-2.1-G'!A41</f>
        <v>Rent from Gas Property</v>
      </c>
      <c r="B39" s="141">
        <f>'Stipulation Sch M-2.1-G'!B41</f>
        <v>374342.39</v>
      </c>
      <c r="C39" s="54"/>
      <c r="D39" s="54"/>
      <c r="E39" s="54"/>
      <c r="F39" s="136">
        <f t="shared" si="2"/>
        <v>374342.39</v>
      </c>
      <c r="G39" s="140">
        <f>'Stipulation Sch M-2.1-G'!D41</f>
        <v>0</v>
      </c>
      <c r="H39" s="137"/>
    </row>
    <row r="40" spans="1:12" x14ac:dyDescent="0.25">
      <c r="A40" s="197" t="str">
        <f>'Stipulation Sch M-2.1-G'!A42</f>
        <v>Other Gas Revenue</v>
      </c>
      <c r="B40" s="141">
        <f>'Stipulation Sch M-2.1-G'!B42</f>
        <v>325.85000000000042</v>
      </c>
      <c r="C40" s="54"/>
      <c r="D40" s="54"/>
      <c r="E40" s="54"/>
      <c r="F40" s="136">
        <f t="shared" si="2"/>
        <v>325.85000000000042</v>
      </c>
      <c r="G40" s="140">
        <f>'Stipulation Sch M-2.1-G'!D42</f>
        <v>0</v>
      </c>
      <c r="H40" s="137"/>
    </row>
    <row r="41" spans="1:12" x14ac:dyDescent="0.25">
      <c r="A41" s="6"/>
      <c r="B41" s="54"/>
      <c r="C41" s="54"/>
      <c r="D41" s="54"/>
      <c r="E41" s="54"/>
      <c r="F41" s="54"/>
      <c r="G41" s="54"/>
      <c r="H41" s="54"/>
    </row>
    <row r="42" spans="1:12" x14ac:dyDescent="0.25">
      <c r="A42" s="6" t="s">
        <v>29</v>
      </c>
      <c r="B42" s="138">
        <f t="shared" ref="B42:G42" si="3">+B35+SUM(B37:B40)</f>
        <v>190548382.81809139</v>
      </c>
      <c r="C42" s="138">
        <f t="shared" si="3"/>
        <v>125153279.56264226</v>
      </c>
      <c r="D42" s="138">
        <f t="shared" si="3"/>
        <v>2269120.6113116345</v>
      </c>
      <c r="E42" s="138">
        <f t="shared" si="3"/>
        <v>14201945.988532811</v>
      </c>
      <c r="F42" s="138">
        <f t="shared" si="3"/>
        <v>332172728.98057806</v>
      </c>
      <c r="G42" s="138">
        <f t="shared" si="3"/>
        <v>19330007.65178806</v>
      </c>
      <c r="H42" s="139">
        <f>G42/F42</f>
        <v>5.8192638845190311E-2</v>
      </c>
    </row>
    <row r="43" spans="1:12" x14ac:dyDescent="0.25">
      <c r="F43" s="6"/>
      <c r="G43" s="6"/>
      <c r="H43" s="6"/>
    </row>
    <row r="44" spans="1:12" x14ac:dyDescent="0.25">
      <c r="B44" s="207"/>
    </row>
    <row r="45" spans="1:12" x14ac:dyDescent="0.25">
      <c r="B45" s="60"/>
      <c r="C45" s="60"/>
      <c r="D45" s="60"/>
      <c r="E45" s="60"/>
      <c r="F45" s="60"/>
      <c r="G45" s="60"/>
      <c r="H45" s="60"/>
    </row>
    <row r="49" spans="9:16" x14ac:dyDescent="0.25">
      <c r="I49" s="58"/>
    </row>
    <row r="53" spans="9:16" x14ac:dyDescent="0.25">
      <c r="J53" s="120"/>
      <c r="P53" s="142"/>
    </row>
    <row r="54" spans="9:16" x14ac:dyDescent="0.25">
      <c r="J54" s="120"/>
    </row>
    <row r="55" spans="9:16" x14ac:dyDescent="0.25">
      <c r="J55" s="120"/>
    </row>
  </sheetData>
  <mergeCells count="5">
    <mergeCell ref="A1:H1"/>
    <mergeCell ref="A2:H2"/>
    <mergeCell ref="A3:H3"/>
    <mergeCell ref="A4:H4"/>
    <mergeCell ref="A5:H5"/>
  </mergeCells>
  <printOptions horizontalCentered="1"/>
  <pageMargins left="0.75" right="0.75" top="1.75" bottom="0.5" header="0.75" footer="0.25"/>
  <pageSetup scale="62" orientation="landscape" r:id="rId1"/>
  <headerFooter>
    <oddHeader xml:space="preserve">&amp;C&amp;"Times New Roman,Bold"&amp;12
</oddHeader>
  </headerFooter>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6" tint="0.39997558519241921"/>
  </sheetPr>
  <dimension ref="A1:Q296"/>
  <sheetViews>
    <sheetView view="pageBreakPreview" zoomScale="85" zoomScaleNormal="85" zoomScaleSheetLayoutView="85" workbookViewId="0">
      <pane xSplit="3" topLeftCell="D1" activePane="topRight" state="frozen"/>
      <selection pane="topRight" activeCell="B1" sqref="B1:L1"/>
    </sheetView>
  </sheetViews>
  <sheetFormatPr defaultColWidth="9.140625" defaultRowHeight="15.75" x14ac:dyDescent="0.25"/>
  <cols>
    <col min="1" max="1" width="17.28515625" style="6" hidden="1" customWidth="1"/>
    <col min="2" max="2" width="5.85546875" style="17" customWidth="1"/>
    <col min="3" max="3" width="45.42578125" style="17" customWidth="1"/>
    <col min="4" max="4" width="15.85546875" style="17" customWidth="1"/>
    <col min="5" max="5" width="19.140625" style="24" customWidth="1"/>
    <col min="6" max="6" width="20.85546875" style="24" customWidth="1"/>
    <col min="7" max="7" width="19.42578125" style="24" customWidth="1"/>
    <col min="8" max="8" width="18.85546875" style="17" customWidth="1"/>
    <col min="9" max="9" width="24.7109375" style="17" customWidth="1"/>
    <col min="10" max="10" width="4.28515625" style="17" customWidth="1"/>
    <col min="11" max="11" width="21" style="17" customWidth="1"/>
    <col min="12" max="12" width="22.5703125" style="6" customWidth="1"/>
    <col min="13" max="13" width="18.28515625" style="6" bestFit="1" customWidth="1"/>
    <col min="14" max="14" width="16.85546875" style="6" customWidth="1"/>
    <col min="15" max="15" width="16" style="6" customWidth="1"/>
    <col min="16" max="17" width="15.42578125" style="6" customWidth="1"/>
    <col min="18" max="16384" width="9.140625" style="6"/>
  </cols>
  <sheetData>
    <row r="1" spans="1:17" x14ac:dyDescent="0.25">
      <c r="A1" s="4"/>
      <c r="B1" s="236" t="str">
        <f>Index!A5</f>
        <v>LOUISVILLE GAS AND ELECTRIC COMPANY</v>
      </c>
      <c r="C1" s="236"/>
      <c r="D1" s="236"/>
      <c r="E1" s="236"/>
      <c r="F1" s="236"/>
      <c r="G1" s="236"/>
      <c r="H1" s="236"/>
      <c r="I1" s="236"/>
      <c r="J1" s="236"/>
      <c r="K1" s="236"/>
      <c r="L1" s="236"/>
    </row>
    <row r="2" spans="1:17" x14ac:dyDescent="0.25">
      <c r="B2" s="236" t="str">
        <f>Index!A7</f>
        <v>CASE NO. 2018-00295</v>
      </c>
      <c r="C2" s="236"/>
      <c r="D2" s="236"/>
      <c r="E2" s="236"/>
      <c r="F2" s="236"/>
      <c r="G2" s="236"/>
      <c r="H2" s="236"/>
      <c r="I2" s="236"/>
      <c r="J2" s="236"/>
      <c r="K2" s="236"/>
      <c r="L2" s="236"/>
    </row>
    <row r="3" spans="1:17" x14ac:dyDescent="0.25">
      <c r="B3" s="236" t="str">
        <f>Index!C22</f>
        <v>Calculation of Proposed Gas Rate Increase</v>
      </c>
      <c r="C3" s="236"/>
      <c r="D3" s="236"/>
      <c r="E3" s="236"/>
      <c r="F3" s="236"/>
      <c r="G3" s="236"/>
      <c r="H3" s="236"/>
      <c r="I3" s="236"/>
      <c r="J3" s="236"/>
      <c r="K3" s="236"/>
      <c r="L3" s="236"/>
    </row>
    <row r="4" spans="1:17" x14ac:dyDescent="0.25">
      <c r="B4" s="236" t="str">
        <f>Index!D13</f>
        <v>For the 12 Months Ended April 30, 2020</v>
      </c>
      <c r="C4" s="236"/>
      <c r="D4" s="236"/>
      <c r="E4" s="236"/>
      <c r="F4" s="236"/>
      <c r="G4" s="236"/>
      <c r="H4" s="236"/>
      <c r="I4" s="236"/>
      <c r="J4" s="236"/>
      <c r="K4" s="236"/>
      <c r="L4" s="236"/>
    </row>
    <row r="5" spans="1:17" x14ac:dyDescent="0.25">
      <c r="B5" s="237" t="s">
        <v>95</v>
      </c>
      <c r="C5" s="237"/>
      <c r="D5" s="237"/>
      <c r="E5" s="237"/>
      <c r="F5" s="237"/>
      <c r="G5" s="237"/>
      <c r="H5" s="237"/>
      <c r="I5" s="237"/>
      <c r="J5" s="237"/>
      <c r="K5" s="237"/>
      <c r="L5" s="237"/>
    </row>
    <row r="7" spans="1:17" x14ac:dyDescent="0.25">
      <c r="B7" s="14" t="str">
        <f>'Stipulation Sch M-2.1-G'!A10</f>
        <v>DATA:  ____ BASE PERIOD  __X__  FORECAST PERIOD</v>
      </c>
      <c r="C7" s="15"/>
      <c r="D7" s="15"/>
      <c r="E7" s="16"/>
      <c r="F7" s="16"/>
      <c r="G7" s="16"/>
      <c r="H7" s="15"/>
      <c r="L7" s="19" t="str">
        <f>'Stipulation Sch M-2.1-G'!F10</f>
        <v>Stipulation Exhibit 5</v>
      </c>
    </row>
    <row r="8" spans="1:17" x14ac:dyDescent="0.25">
      <c r="B8" s="18" t="str">
        <f>'Stipulation Sch M-2.1-G'!A11</f>
        <v>TYPE OF FILING: __X__ ORIGINAL  _____ UPDATED  _____ REVISED</v>
      </c>
      <c r="C8" s="15"/>
      <c r="D8" s="15"/>
      <c r="E8" s="16"/>
      <c r="F8" s="16"/>
      <c r="G8" s="16"/>
      <c r="H8" s="15"/>
      <c r="L8" s="19"/>
    </row>
    <row r="9" spans="1:17" x14ac:dyDescent="0.25">
      <c r="B9" s="18" t="str">
        <f>'Stipulation Sch M-2.1-G'!A12</f>
        <v>WORK PAPER REFERENCE NO(S):</v>
      </c>
      <c r="C9" s="15"/>
      <c r="D9" s="15"/>
      <c r="E9" s="16"/>
      <c r="F9" s="16"/>
      <c r="G9" s="16"/>
      <c r="H9" s="15"/>
      <c r="L9" s="126"/>
    </row>
    <row r="10" spans="1:17" x14ac:dyDescent="0.25">
      <c r="B10" s="20"/>
      <c r="C10" s="21"/>
      <c r="D10" s="22"/>
      <c r="E10" s="23"/>
      <c r="F10" s="209"/>
      <c r="G10" s="209"/>
      <c r="H10" s="208"/>
      <c r="I10" s="209"/>
      <c r="J10" s="209"/>
    </row>
    <row r="11" spans="1:17" ht="16.5" thickBot="1" x14ac:dyDescent="0.3">
      <c r="I11" s="25"/>
      <c r="J11" s="26"/>
      <c r="K11" s="235" t="s">
        <v>177</v>
      </c>
      <c r="L11" s="235"/>
      <c r="M11" s="5"/>
      <c r="N11" s="5"/>
      <c r="O11" s="5"/>
      <c r="P11" s="5"/>
      <c r="Q11" s="5"/>
    </row>
    <row r="12" spans="1:17" x14ac:dyDescent="0.25">
      <c r="I12" s="25"/>
      <c r="J12" s="26"/>
      <c r="K12" s="26"/>
      <c r="L12" s="5"/>
      <c r="M12" s="5"/>
      <c r="N12" s="5"/>
      <c r="O12" s="5"/>
      <c r="P12" s="5"/>
      <c r="Q12" s="5"/>
    </row>
    <row r="13" spans="1:17" x14ac:dyDescent="0.25">
      <c r="E13" s="27"/>
      <c r="F13" s="28"/>
      <c r="G13" s="28"/>
      <c r="H13" s="25"/>
      <c r="I13" s="29"/>
      <c r="J13" s="30"/>
      <c r="K13" s="25" t="s">
        <v>79</v>
      </c>
      <c r="L13" s="25" t="s">
        <v>15</v>
      </c>
      <c r="M13" s="5"/>
      <c r="N13" s="5"/>
      <c r="O13" s="5"/>
      <c r="P13" s="5"/>
      <c r="Q13" s="5"/>
    </row>
    <row r="14" spans="1:17" ht="32.25" thickBot="1" x14ac:dyDescent="0.3">
      <c r="B14" s="31" t="s">
        <v>7</v>
      </c>
      <c r="C14" s="31"/>
      <c r="D14" s="31"/>
      <c r="E14" s="32" t="s">
        <v>131</v>
      </c>
      <c r="F14" s="33" t="s">
        <v>5</v>
      </c>
      <c r="G14" s="33" t="s">
        <v>103</v>
      </c>
      <c r="H14" s="32" t="s">
        <v>104</v>
      </c>
      <c r="I14" s="32" t="s">
        <v>105</v>
      </c>
      <c r="J14" s="34"/>
      <c r="K14" s="35" t="s">
        <v>80</v>
      </c>
      <c r="L14" s="35" t="s">
        <v>6</v>
      </c>
      <c r="M14" s="5"/>
      <c r="N14" s="5"/>
      <c r="O14" s="5"/>
      <c r="P14" s="5"/>
      <c r="Q14" s="5"/>
    </row>
    <row r="15" spans="1:17" x14ac:dyDescent="0.25">
      <c r="B15" s="36"/>
      <c r="C15" s="36"/>
      <c r="D15" s="36"/>
      <c r="E15" s="37"/>
      <c r="F15" s="37"/>
      <c r="G15" s="37"/>
      <c r="H15" s="38"/>
      <c r="I15" s="38"/>
      <c r="J15" s="38"/>
      <c r="K15" s="5"/>
      <c r="L15" s="5"/>
      <c r="M15" s="5"/>
      <c r="N15" s="5"/>
      <c r="O15" s="5"/>
      <c r="P15" s="5"/>
      <c r="Q15" s="5"/>
    </row>
    <row r="16" spans="1:17" x14ac:dyDescent="0.25">
      <c r="B16" s="39" t="s">
        <v>138</v>
      </c>
      <c r="D16" s="40"/>
      <c r="E16" s="25"/>
      <c r="F16" s="25"/>
      <c r="K16" s="5"/>
      <c r="L16" s="5"/>
      <c r="M16" s="5"/>
      <c r="N16" s="5"/>
      <c r="O16" s="5"/>
      <c r="P16" s="5"/>
      <c r="Q16" s="5"/>
    </row>
    <row r="17" spans="1:17" x14ac:dyDescent="0.25">
      <c r="B17" s="40"/>
      <c r="D17" s="40"/>
      <c r="E17" s="25"/>
      <c r="F17" s="25"/>
      <c r="K17" s="5"/>
      <c r="L17" s="5"/>
      <c r="M17" s="5"/>
      <c r="N17" s="5"/>
      <c r="O17" s="5"/>
      <c r="P17" s="5"/>
      <c r="Q17" s="5"/>
    </row>
    <row r="18" spans="1:17" x14ac:dyDescent="0.25">
      <c r="A18" s="6" t="s">
        <v>4</v>
      </c>
      <c r="B18" s="40" t="s">
        <v>139</v>
      </c>
      <c r="D18" s="41"/>
      <c r="K18" s="5"/>
      <c r="L18" s="5"/>
      <c r="M18" s="5"/>
      <c r="N18" s="5"/>
      <c r="O18" s="5"/>
      <c r="P18" s="5"/>
      <c r="Q18" s="5"/>
    </row>
    <row r="19" spans="1:17" x14ac:dyDescent="0.25">
      <c r="B19" s="40"/>
      <c r="C19" s="62" t="s">
        <v>117</v>
      </c>
      <c r="D19" s="41"/>
      <c r="K19" s="5"/>
      <c r="L19" s="5"/>
      <c r="M19" s="5"/>
      <c r="N19" s="5"/>
      <c r="O19" s="5"/>
      <c r="P19" s="5"/>
      <c r="Q19" s="5"/>
    </row>
    <row r="20" spans="1:17" x14ac:dyDescent="0.25">
      <c r="B20" s="42"/>
      <c r="C20" s="6" t="s">
        <v>132</v>
      </c>
      <c r="D20" s="43"/>
      <c r="E20" s="57">
        <v>3587761</v>
      </c>
      <c r="F20" s="57"/>
      <c r="H20" s="45">
        <v>16.350000000000001</v>
      </c>
      <c r="I20" s="44">
        <f>+E20*H20</f>
        <v>58659892.350000001</v>
      </c>
      <c r="J20" s="44"/>
      <c r="K20" s="45"/>
      <c r="L20" s="44"/>
      <c r="M20" s="79"/>
      <c r="N20" s="5"/>
      <c r="O20" s="5"/>
      <c r="P20" s="5"/>
      <c r="Q20" s="5"/>
    </row>
    <row r="21" spans="1:17" x14ac:dyDescent="0.25">
      <c r="B21" s="42"/>
      <c r="C21" s="6" t="s">
        <v>133</v>
      </c>
      <c r="D21" s="43"/>
      <c r="E21" s="57">
        <v>109202475.4375</v>
      </c>
      <c r="F21" s="57"/>
      <c r="H21" s="45"/>
      <c r="I21" s="44"/>
      <c r="J21" s="44"/>
      <c r="K21" s="45">
        <v>0.65</v>
      </c>
      <c r="L21" s="44">
        <f>E21*K21</f>
        <v>70981609.034374997</v>
      </c>
      <c r="M21" s="120"/>
      <c r="N21" s="5"/>
      <c r="O21" s="5"/>
      <c r="P21" s="5"/>
      <c r="Q21" s="5"/>
    </row>
    <row r="22" spans="1:17" x14ac:dyDescent="0.25">
      <c r="C22" s="46" t="s">
        <v>106</v>
      </c>
      <c r="E22" s="223"/>
      <c r="F22" s="57">
        <v>19344464.899848823</v>
      </c>
      <c r="H22" s="47">
        <v>3.63</v>
      </c>
      <c r="I22" s="48">
        <f>+F22*H22</f>
        <v>70220407.586451218</v>
      </c>
      <c r="J22" s="44"/>
      <c r="K22" s="47">
        <v>3.7033999999999998</v>
      </c>
      <c r="L22" s="48">
        <f>F22*K22</f>
        <v>71640291.310100123</v>
      </c>
      <c r="M22" s="120"/>
      <c r="N22" s="5"/>
      <c r="O22" s="5"/>
      <c r="P22" s="5"/>
      <c r="Q22" s="5"/>
    </row>
    <row r="23" spans="1:17" x14ac:dyDescent="0.25">
      <c r="C23" s="40" t="s">
        <v>25</v>
      </c>
      <c r="F23" s="49"/>
      <c r="H23" s="47"/>
      <c r="I23" s="52">
        <f>SUM(I20:I22)</f>
        <v>128880299.93645123</v>
      </c>
      <c r="J23" s="44"/>
      <c r="K23" s="47"/>
      <c r="L23" s="52">
        <f>SUM(L20:L22)</f>
        <v>142621900.34447512</v>
      </c>
      <c r="M23" s="5"/>
      <c r="N23" s="5"/>
      <c r="O23" s="5"/>
      <c r="P23" s="5"/>
      <c r="Q23" s="5"/>
    </row>
    <row r="24" spans="1:17" x14ac:dyDescent="0.25">
      <c r="C24" s="50"/>
      <c r="F24" s="49"/>
      <c r="H24" s="47"/>
      <c r="I24" s="44"/>
      <c r="J24" s="44"/>
      <c r="K24" s="47"/>
      <c r="L24" s="44"/>
      <c r="M24" s="5"/>
      <c r="N24" s="5"/>
      <c r="O24" s="5"/>
      <c r="P24" s="5"/>
      <c r="Q24" s="5"/>
    </row>
    <row r="25" spans="1:17" x14ac:dyDescent="0.25">
      <c r="C25" s="40" t="s">
        <v>87</v>
      </c>
      <c r="F25" s="49"/>
      <c r="G25" s="24" t="s">
        <v>112</v>
      </c>
      <c r="H25" s="51">
        <v>1</v>
      </c>
      <c r="I25" s="52">
        <f>I23/H25</f>
        <v>128880299.93645123</v>
      </c>
      <c r="J25" s="52"/>
      <c r="K25" s="51">
        <f>H25</f>
        <v>1</v>
      </c>
      <c r="L25" s="52">
        <f>L23/K25</f>
        <v>142621900.34447512</v>
      </c>
      <c r="O25" s="5"/>
      <c r="P25" s="5"/>
      <c r="Q25" s="5"/>
    </row>
    <row r="26" spans="1:17" x14ac:dyDescent="0.25">
      <c r="F26" s="53"/>
      <c r="K26" s="5"/>
      <c r="L26" s="5"/>
      <c r="O26" s="5"/>
      <c r="P26" s="5"/>
      <c r="Q26" s="5"/>
    </row>
    <row r="27" spans="1:17" x14ac:dyDescent="0.25">
      <c r="C27" s="50" t="s">
        <v>38</v>
      </c>
      <c r="I27" s="44">
        <v>78109569.334308967</v>
      </c>
      <c r="J27" s="44"/>
      <c r="K27" s="5"/>
      <c r="L27" s="44">
        <f>I27</f>
        <v>78109569.334308967</v>
      </c>
      <c r="M27" s="226"/>
      <c r="O27" s="5"/>
      <c r="P27" s="5"/>
      <c r="Q27" s="5"/>
    </row>
    <row r="28" spans="1:17" ht="16.5" customHeight="1" x14ac:dyDescent="0.25">
      <c r="C28" s="50" t="s">
        <v>39</v>
      </c>
      <c r="D28" s="6"/>
      <c r="E28" s="54"/>
      <c r="F28" s="54"/>
      <c r="G28" s="54"/>
      <c r="H28" s="6"/>
      <c r="I28" s="44">
        <v>1435561.3472547519</v>
      </c>
      <c r="J28" s="44"/>
      <c r="K28" s="5"/>
      <c r="L28" s="44">
        <f>I28</f>
        <v>1435561.3472547519</v>
      </c>
      <c r="M28" s="79"/>
      <c r="N28" s="227"/>
      <c r="O28" s="5"/>
      <c r="P28" s="5"/>
      <c r="Q28" s="5"/>
    </row>
    <row r="29" spans="1:17" x14ac:dyDescent="0.25">
      <c r="B29" s="6"/>
      <c r="C29" s="50" t="s">
        <v>35</v>
      </c>
      <c r="D29" s="6"/>
      <c r="E29" s="54"/>
      <c r="F29" s="54"/>
      <c r="G29" s="54"/>
      <c r="H29" s="6"/>
      <c r="I29" s="44">
        <v>9542287.5096951965</v>
      </c>
      <c r="J29" s="44"/>
      <c r="K29" s="5"/>
      <c r="L29" s="44">
        <f>I29</f>
        <v>9542287.5096951965</v>
      </c>
      <c r="M29" s="5"/>
      <c r="N29" s="5"/>
      <c r="O29" s="5"/>
      <c r="P29" s="5"/>
      <c r="Q29" s="5"/>
    </row>
    <row r="31" spans="1:17" ht="16.5" thickBot="1" x14ac:dyDescent="0.3">
      <c r="C31" s="40" t="s">
        <v>140</v>
      </c>
      <c r="I31" s="55">
        <f>SUM(I25:I29)</f>
        <v>217967718.12771013</v>
      </c>
      <c r="J31" s="56"/>
      <c r="K31" s="5"/>
      <c r="L31" s="55">
        <f>SUM(L25:L29)</f>
        <v>231709318.53573403</v>
      </c>
      <c r="O31" s="5"/>
      <c r="P31" s="5"/>
      <c r="Q31" s="5"/>
    </row>
    <row r="32" spans="1:17" ht="16.5" thickTop="1" x14ac:dyDescent="0.25">
      <c r="B32" s="40"/>
      <c r="I32" s="56"/>
      <c r="J32" s="56"/>
      <c r="K32" s="5"/>
      <c r="L32" s="5"/>
      <c r="O32" s="5"/>
      <c r="P32" s="5"/>
      <c r="Q32" s="5"/>
    </row>
    <row r="33" spans="1:17" x14ac:dyDescent="0.25">
      <c r="B33" s="40"/>
      <c r="C33" s="59" t="s">
        <v>81</v>
      </c>
      <c r="I33" s="56"/>
      <c r="J33" s="56"/>
      <c r="K33" s="5"/>
      <c r="L33" s="58">
        <f>L31-I31</f>
        <v>13741600.408023894</v>
      </c>
      <c r="M33" s="60"/>
      <c r="N33" s="58"/>
      <c r="O33" s="5"/>
      <c r="P33" s="5"/>
      <c r="Q33" s="5"/>
    </row>
    <row r="34" spans="1:17" x14ac:dyDescent="0.25">
      <c r="B34" s="40"/>
      <c r="I34" s="56"/>
      <c r="J34" s="56"/>
      <c r="K34" s="5"/>
      <c r="L34" s="61">
        <f>L33/I31</f>
        <v>6.3044199967136921E-2</v>
      </c>
      <c r="M34" s="61"/>
      <c r="N34" s="58"/>
      <c r="O34" s="5"/>
      <c r="P34" s="5"/>
      <c r="Q34" s="5"/>
    </row>
    <row r="35" spans="1:17" x14ac:dyDescent="0.25">
      <c r="K35" s="5"/>
      <c r="L35" s="5"/>
      <c r="M35" s="5"/>
      <c r="N35" s="5"/>
      <c r="O35" s="5"/>
      <c r="P35" s="5"/>
      <c r="Q35" s="5"/>
    </row>
    <row r="36" spans="1:17" x14ac:dyDescent="0.25">
      <c r="K36" s="5"/>
      <c r="L36" s="126"/>
      <c r="M36" s="5"/>
      <c r="N36" s="5"/>
      <c r="O36" s="5"/>
      <c r="P36" s="5"/>
      <c r="Q36" s="5"/>
    </row>
    <row r="37" spans="1:17" x14ac:dyDescent="0.25">
      <c r="B37" s="39" t="s">
        <v>16</v>
      </c>
      <c r="D37" s="40"/>
      <c r="E37" s="25"/>
      <c r="F37" s="25"/>
      <c r="K37" s="5"/>
      <c r="L37" s="5"/>
      <c r="M37" s="5"/>
      <c r="N37" s="5"/>
      <c r="O37" s="5"/>
      <c r="P37" s="5"/>
      <c r="Q37" s="5"/>
    </row>
    <row r="38" spans="1:17" x14ac:dyDescent="0.25">
      <c r="B38" s="40"/>
      <c r="D38" s="40"/>
      <c r="E38" s="25"/>
      <c r="F38" s="25"/>
      <c r="K38" s="5"/>
      <c r="L38" s="5"/>
      <c r="M38" s="5"/>
      <c r="N38" s="5"/>
      <c r="O38" s="5"/>
      <c r="P38" s="5"/>
      <c r="Q38" s="5"/>
    </row>
    <row r="39" spans="1:17" x14ac:dyDescent="0.25">
      <c r="A39" s="6" t="s">
        <v>2</v>
      </c>
      <c r="B39" s="40" t="s">
        <v>142</v>
      </c>
      <c r="K39" s="5"/>
      <c r="L39" s="5"/>
      <c r="M39" s="5"/>
      <c r="N39" s="5"/>
      <c r="O39" s="5"/>
      <c r="P39" s="5"/>
      <c r="Q39" s="5"/>
    </row>
    <row r="40" spans="1:17" x14ac:dyDescent="0.25">
      <c r="B40" s="40"/>
      <c r="C40" s="62" t="s">
        <v>117</v>
      </c>
      <c r="K40" s="45"/>
      <c r="L40" s="5"/>
      <c r="M40" s="5"/>
      <c r="N40" s="5"/>
      <c r="O40" s="5"/>
      <c r="P40" s="5"/>
      <c r="Q40" s="5"/>
    </row>
    <row r="41" spans="1:17" x14ac:dyDescent="0.25">
      <c r="B41" s="63"/>
      <c r="C41" s="59" t="s">
        <v>134</v>
      </c>
      <c r="E41" s="49">
        <v>287832</v>
      </c>
      <c r="H41" s="45">
        <v>60</v>
      </c>
      <c r="I41" s="44">
        <f>+E41*H41</f>
        <v>17269920</v>
      </c>
      <c r="J41" s="44"/>
      <c r="K41" s="45"/>
      <c r="L41" s="44"/>
      <c r="M41" s="5"/>
      <c r="N41" s="5"/>
      <c r="O41" s="57"/>
      <c r="P41" s="64"/>
      <c r="Q41" s="5"/>
    </row>
    <row r="42" spans="1:17" x14ac:dyDescent="0.25">
      <c r="B42" s="63"/>
      <c r="C42" s="59" t="s">
        <v>135</v>
      </c>
      <c r="E42" s="49">
        <v>13105</v>
      </c>
      <c r="H42" s="45">
        <v>285</v>
      </c>
      <c r="I42" s="44">
        <f>+E42*H42</f>
        <v>3734925</v>
      </c>
      <c r="J42" s="44"/>
      <c r="K42" s="45"/>
      <c r="L42" s="44"/>
      <c r="M42" s="65"/>
      <c r="N42" s="5"/>
      <c r="O42" s="57"/>
      <c r="P42" s="57"/>
      <c r="Q42" s="5"/>
    </row>
    <row r="43" spans="1:17" x14ac:dyDescent="0.25">
      <c r="B43" s="63"/>
      <c r="C43" s="59" t="s">
        <v>136</v>
      </c>
      <c r="E43" s="49">
        <v>8760886.5</v>
      </c>
      <c r="H43" s="45"/>
      <c r="I43" s="44"/>
      <c r="J43" s="44"/>
      <c r="K43" s="45">
        <v>1.97</v>
      </c>
      <c r="L43" s="44">
        <f t="shared" ref="L43:L44" si="0">E43*K43</f>
        <v>17258946.405000001</v>
      </c>
      <c r="M43" s="120"/>
      <c r="N43" s="79"/>
      <c r="O43" s="57"/>
      <c r="P43" s="57"/>
      <c r="Q43" s="5"/>
    </row>
    <row r="44" spans="1:17" x14ac:dyDescent="0.25">
      <c r="B44" s="63"/>
      <c r="C44" s="59" t="s">
        <v>137</v>
      </c>
      <c r="E44" s="49">
        <v>398883.4375</v>
      </c>
      <c r="H44" s="45"/>
      <c r="I44" s="44"/>
      <c r="J44" s="44"/>
      <c r="K44" s="45">
        <v>9.3699999999999992</v>
      </c>
      <c r="L44" s="44">
        <f t="shared" si="0"/>
        <v>3737537.8093749997</v>
      </c>
      <c r="M44" s="120"/>
      <c r="N44" s="79"/>
      <c r="O44" s="57"/>
      <c r="P44" s="57"/>
      <c r="Q44" s="5"/>
    </row>
    <row r="45" spans="1:17" x14ac:dyDescent="0.25">
      <c r="C45" s="66" t="s">
        <v>106</v>
      </c>
      <c r="E45" s="49"/>
      <c r="H45" s="67"/>
      <c r="K45" s="45"/>
      <c r="L45" s="68"/>
      <c r="M45" s="69"/>
      <c r="N45" s="5"/>
      <c r="O45" s="60"/>
      <c r="P45" s="5"/>
      <c r="Q45" s="5"/>
    </row>
    <row r="46" spans="1:17" x14ac:dyDescent="0.25">
      <c r="B46" s="70"/>
      <c r="C46" s="17" t="s">
        <v>108</v>
      </c>
      <c r="E46" s="71"/>
      <c r="F46" s="49">
        <v>9853293.9294005223</v>
      </c>
      <c r="H46" s="67">
        <v>2.5133000000000001</v>
      </c>
      <c r="I46" s="72">
        <f>+F46*H46</f>
        <v>24764283.632762335</v>
      </c>
      <c r="J46" s="72"/>
      <c r="K46" s="67">
        <v>3.0872999999999999</v>
      </c>
      <c r="L46" s="44">
        <f>F46*K46</f>
        <v>30420074.348238233</v>
      </c>
      <c r="M46" s="120"/>
      <c r="N46" s="5"/>
      <c r="O46" s="5"/>
      <c r="P46" s="5"/>
      <c r="Q46" s="5"/>
    </row>
    <row r="47" spans="1:17" x14ac:dyDescent="0.25">
      <c r="B47" s="63"/>
      <c r="C47" s="73" t="s">
        <v>109</v>
      </c>
      <c r="G47" s="49">
        <v>98036.511630896915</v>
      </c>
      <c r="H47" s="67">
        <v>2.0133000000000001</v>
      </c>
      <c r="I47" s="74">
        <f>+H47*G47</f>
        <v>197376.90886648477</v>
      </c>
      <c r="J47" s="72"/>
      <c r="K47" s="67">
        <f>K46-0.5</f>
        <v>2.5872999999999999</v>
      </c>
      <c r="L47" s="48">
        <f>G47*K47</f>
        <v>253649.86654261959</v>
      </c>
      <c r="M47" s="120"/>
      <c r="N47" s="5"/>
      <c r="O47" s="5"/>
      <c r="P47" s="5"/>
      <c r="Q47" s="5"/>
    </row>
    <row r="48" spans="1:17" x14ac:dyDescent="0.25">
      <c r="C48" s="40" t="s">
        <v>25</v>
      </c>
      <c r="G48" s="53"/>
      <c r="I48" s="52">
        <f>SUM(I41:I47)</f>
        <v>45966505.541628823</v>
      </c>
      <c r="J48" s="52"/>
      <c r="L48" s="52">
        <f>SUM(L41:L47)</f>
        <v>51670208.429155856</v>
      </c>
      <c r="M48" s="5"/>
      <c r="N48" s="5"/>
      <c r="O48" s="5"/>
      <c r="P48" s="5"/>
      <c r="Q48" s="5"/>
    </row>
    <row r="49" spans="1:17" x14ac:dyDescent="0.25">
      <c r="C49" s="40"/>
      <c r="G49" s="53"/>
      <c r="I49" s="52"/>
      <c r="J49" s="52"/>
      <c r="K49" s="45"/>
      <c r="L49" s="52"/>
      <c r="M49" s="5"/>
      <c r="N49" s="5"/>
      <c r="O49" s="5"/>
      <c r="P49" s="5"/>
      <c r="Q49" s="5"/>
    </row>
    <row r="50" spans="1:17" x14ac:dyDescent="0.25">
      <c r="C50" s="40" t="s">
        <v>87</v>
      </c>
      <c r="G50" s="24" t="s">
        <v>107</v>
      </c>
      <c r="H50" s="51">
        <v>1</v>
      </c>
      <c r="I50" s="52">
        <f>IF(H50=0,0,I48/H50)</f>
        <v>45966505.541628823</v>
      </c>
      <c r="K50" s="75">
        <f>H50</f>
        <v>1</v>
      </c>
      <c r="L50" s="52">
        <f>IF(K50=0,0,L48/K50)</f>
        <v>51670208.429155856</v>
      </c>
      <c r="M50" s="5"/>
      <c r="N50" s="5"/>
      <c r="O50" s="5"/>
      <c r="P50" s="5"/>
      <c r="Q50" s="5"/>
    </row>
    <row r="51" spans="1:17" x14ac:dyDescent="0.25">
      <c r="C51" s="40"/>
      <c r="G51" s="53"/>
      <c r="I51" s="52"/>
      <c r="J51" s="52"/>
      <c r="K51" s="45"/>
      <c r="L51" s="52"/>
      <c r="M51" s="5"/>
      <c r="N51" s="5"/>
      <c r="O51" s="5"/>
      <c r="P51" s="5"/>
      <c r="Q51" s="5"/>
    </row>
    <row r="52" spans="1:17" x14ac:dyDescent="0.25">
      <c r="C52" s="40"/>
      <c r="G52" s="53"/>
      <c r="I52" s="52"/>
      <c r="J52" s="52"/>
      <c r="K52" s="45"/>
      <c r="L52" s="52"/>
      <c r="M52" s="5"/>
      <c r="N52" s="5"/>
      <c r="O52" s="76"/>
      <c r="P52" s="5"/>
      <c r="Q52" s="5"/>
    </row>
    <row r="53" spans="1:17" x14ac:dyDescent="0.25">
      <c r="A53" s="6" t="s">
        <v>90</v>
      </c>
      <c r="B53" s="36" t="s">
        <v>143</v>
      </c>
      <c r="K53" s="45"/>
      <c r="L53" s="44"/>
      <c r="M53" s="5"/>
      <c r="N53" s="5"/>
      <c r="O53" s="77"/>
      <c r="P53" s="5"/>
      <c r="Q53" s="5"/>
    </row>
    <row r="54" spans="1:17" x14ac:dyDescent="0.25">
      <c r="B54" s="36"/>
      <c r="C54" s="62"/>
      <c r="K54" s="45"/>
      <c r="L54" s="44"/>
      <c r="M54" s="5"/>
      <c r="N54" s="5"/>
      <c r="O54" s="77"/>
      <c r="P54" s="5"/>
      <c r="Q54" s="5"/>
    </row>
    <row r="55" spans="1:17" x14ac:dyDescent="0.25">
      <c r="C55" s="17" t="s">
        <v>17</v>
      </c>
      <c r="E55" s="49">
        <v>0</v>
      </c>
      <c r="H55" s="45">
        <v>550</v>
      </c>
      <c r="I55" s="78">
        <f>E55*H55</f>
        <v>0</v>
      </c>
      <c r="J55" s="78"/>
      <c r="K55" s="45">
        <v>550</v>
      </c>
      <c r="L55" s="78">
        <f>E55*K55</f>
        <v>0</v>
      </c>
      <c r="M55" s="120"/>
      <c r="N55" s="5"/>
      <c r="O55" s="79"/>
      <c r="P55" s="5"/>
      <c r="Q55" s="5"/>
    </row>
    <row r="56" spans="1:17" x14ac:dyDescent="0.25">
      <c r="C56" s="62" t="s">
        <v>117</v>
      </c>
      <c r="H56" s="45"/>
      <c r="I56" s="78"/>
      <c r="J56" s="78"/>
      <c r="K56" s="45"/>
      <c r="L56" s="44"/>
      <c r="M56" s="57"/>
      <c r="N56" s="5"/>
      <c r="O56" s="79"/>
      <c r="P56" s="5"/>
      <c r="Q56" s="5"/>
    </row>
    <row r="57" spans="1:17" x14ac:dyDescent="0.25">
      <c r="C57" s="59" t="s">
        <v>134</v>
      </c>
      <c r="E57" s="49">
        <v>0</v>
      </c>
      <c r="H57" s="45">
        <v>60</v>
      </c>
      <c r="I57" s="78">
        <f>E57*H57</f>
        <v>0</v>
      </c>
      <c r="J57" s="78"/>
      <c r="K57" s="80"/>
      <c r="L57" s="44"/>
      <c r="M57" s="57"/>
      <c r="N57" s="5"/>
      <c r="O57" s="79"/>
      <c r="P57" s="5"/>
      <c r="Q57" s="5"/>
    </row>
    <row r="58" spans="1:17" x14ac:dyDescent="0.25">
      <c r="C58" s="59" t="s">
        <v>135</v>
      </c>
      <c r="E58" s="49">
        <v>0</v>
      </c>
      <c r="H58" s="45">
        <v>285</v>
      </c>
      <c r="I58" s="78">
        <f>E58*H58</f>
        <v>0</v>
      </c>
      <c r="J58" s="78"/>
      <c r="K58" s="80"/>
      <c r="L58" s="44"/>
      <c r="N58" s="5"/>
      <c r="O58" s="79"/>
      <c r="P58" s="5"/>
      <c r="Q58" s="5"/>
    </row>
    <row r="59" spans="1:17" x14ac:dyDescent="0.25">
      <c r="C59" s="59" t="s">
        <v>136</v>
      </c>
      <c r="E59" s="49">
        <v>0</v>
      </c>
      <c r="H59" s="45"/>
      <c r="I59" s="78"/>
      <c r="J59" s="78"/>
      <c r="K59" s="80">
        <f>K43</f>
        <v>1.97</v>
      </c>
      <c r="L59" s="78">
        <f>E59*K59</f>
        <v>0</v>
      </c>
      <c r="M59" s="120"/>
      <c r="N59" s="5"/>
      <c r="O59" s="79"/>
      <c r="P59" s="5"/>
      <c r="Q59" s="5"/>
    </row>
    <row r="60" spans="1:17" x14ac:dyDescent="0.25">
      <c r="C60" s="59" t="s">
        <v>137</v>
      </c>
      <c r="E60" s="49">
        <v>0</v>
      </c>
      <c r="H60" s="45"/>
      <c r="I60" s="78"/>
      <c r="J60" s="78"/>
      <c r="K60" s="80">
        <f>K44</f>
        <v>9.3699999999999992</v>
      </c>
      <c r="L60" s="78">
        <f>E60*K60</f>
        <v>0</v>
      </c>
      <c r="M60" s="120"/>
      <c r="N60" s="5"/>
      <c r="O60" s="79"/>
      <c r="P60" s="5"/>
      <c r="Q60" s="5"/>
    </row>
    <row r="61" spans="1:17" x14ac:dyDescent="0.25">
      <c r="C61" s="66" t="s">
        <v>106</v>
      </c>
      <c r="E61" s="49"/>
      <c r="H61" s="45"/>
      <c r="I61" s="78"/>
      <c r="J61" s="78"/>
      <c r="K61" s="45"/>
      <c r="L61" s="78"/>
      <c r="M61" s="5"/>
      <c r="N61" s="5"/>
      <c r="O61" s="79"/>
      <c r="P61" s="5"/>
      <c r="Q61" s="5"/>
    </row>
    <row r="62" spans="1:17" x14ac:dyDescent="0.25">
      <c r="C62" s="17" t="s">
        <v>108</v>
      </c>
      <c r="E62" s="49"/>
      <c r="F62" s="49">
        <v>0</v>
      </c>
      <c r="H62" s="67">
        <v>2.5133000000000001</v>
      </c>
      <c r="I62" s="78">
        <f>F62*H62</f>
        <v>0</v>
      </c>
      <c r="J62" s="78"/>
      <c r="K62" s="67">
        <f>K46</f>
        <v>3.0872999999999999</v>
      </c>
      <c r="L62" s="78">
        <f>F62*K62</f>
        <v>0</v>
      </c>
      <c r="M62" s="120"/>
      <c r="N62" s="5"/>
      <c r="O62" s="79"/>
      <c r="P62" s="5"/>
      <c r="Q62" s="5"/>
    </row>
    <row r="63" spans="1:17" x14ac:dyDescent="0.25">
      <c r="C63" s="73" t="s">
        <v>109</v>
      </c>
      <c r="E63" s="49"/>
      <c r="G63" s="49">
        <v>0</v>
      </c>
      <c r="H63" s="67">
        <v>2.0133000000000001</v>
      </c>
      <c r="I63" s="81">
        <f>G63*H63</f>
        <v>0</v>
      </c>
      <c r="J63" s="78"/>
      <c r="K63" s="67">
        <f>K47</f>
        <v>2.5872999999999999</v>
      </c>
      <c r="L63" s="81">
        <f>G63*K63</f>
        <v>0</v>
      </c>
      <c r="M63" s="120"/>
      <c r="N63" s="5"/>
      <c r="O63" s="79"/>
      <c r="P63" s="5"/>
      <c r="Q63" s="5"/>
    </row>
    <row r="64" spans="1:17" x14ac:dyDescent="0.25">
      <c r="C64" s="40" t="s">
        <v>25</v>
      </c>
      <c r="E64" s="49"/>
      <c r="H64" s="45"/>
      <c r="I64" s="200">
        <f>SUM(I55:I63)</f>
        <v>0</v>
      </c>
      <c r="J64" s="78"/>
      <c r="K64" s="45"/>
      <c r="L64" s="200">
        <f>SUM(L55:L63)</f>
        <v>0</v>
      </c>
      <c r="M64" s="5"/>
      <c r="N64" s="5"/>
      <c r="O64" s="79"/>
      <c r="P64" s="5"/>
      <c r="Q64" s="5"/>
    </row>
    <row r="65" spans="1:17" x14ac:dyDescent="0.25">
      <c r="C65" s="59"/>
      <c r="E65" s="49"/>
      <c r="H65" s="45"/>
      <c r="I65" s="78"/>
      <c r="J65" s="78"/>
      <c r="K65" s="45"/>
      <c r="L65" s="44"/>
      <c r="M65" s="5"/>
      <c r="N65" s="5"/>
      <c r="O65" s="79"/>
      <c r="P65" s="5"/>
      <c r="Q65" s="5"/>
    </row>
    <row r="66" spans="1:17" x14ac:dyDescent="0.25">
      <c r="C66" s="40" t="s">
        <v>87</v>
      </c>
      <c r="G66" s="24" t="s">
        <v>107</v>
      </c>
      <c r="H66" s="51">
        <v>0</v>
      </c>
      <c r="I66" s="200">
        <f>IF(H66=0,0,I64/H66)</f>
        <v>0</v>
      </c>
      <c r="K66" s="75">
        <f>H66</f>
        <v>0</v>
      </c>
      <c r="L66" s="200">
        <f>IF(K66=0,0,L64/K66)</f>
        <v>0</v>
      </c>
      <c r="M66" s="5"/>
      <c r="N66" s="5"/>
      <c r="O66" s="5"/>
      <c r="P66" s="5"/>
      <c r="Q66" s="5"/>
    </row>
    <row r="67" spans="1:17" x14ac:dyDescent="0.25">
      <c r="H67" s="67"/>
      <c r="I67" s="78"/>
      <c r="J67" s="78"/>
      <c r="K67" s="5"/>
      <c r="L67" s="44"/>
      <c r="M67" s="5"/>
      <c r="N67" s="5"/>
      <c r="O67" s="5"/>
      <c r="P67" s="5"/>
      <c r="Q67" s="5"/>
    </row>
    <row r="68" spans="1:17" x14ac:dyDescent="0.25">
      <c r="C68" s="50" t="s">
        <v>38</v>
      </c>
      <c r="H68" s="67"/>
      <c r="I68" s="44">
        <v>39681903.355606258</v>
      </c>
      <c r="J68" s="82"/>
      <c r="K68" s="5"/>
      <c r="L68" s="44">
        <f>I68</f>
        <v>39681903.355606258</v>
      </c>
      <c r="M68" s="5"/>
      <c r="N68" s="5"/>
      <c r="O68" s="5"/>
      <c r="P68" s="5"/>
      <c r="Q68" s="5"/>
    </row>
    <row r="69" spans="1:17" x14ac:dyDescent="0.25">
      <c r="C69" s="50" t="s">
        <v>39</v>
      </c>
      <c r="H69" s="67"/>
      <c r="I69" s="44">
        <v>824766.32893977349</v>
      </c>
      <c r="J69" s="82"/>
      <c r="K69" s="5"/>
      <c r="L69" s="44">
        <f t="shared" ref="L69" si="1">I69</f>
        <v>824766.32893977349</v>
      </c>
      <c r="M69" s="5"/>
      <c r="N69" s="5"/>
      <c r="O69" s="5"/>
      <c r="P69" s="5"/>
      <c r="Q69" s="5"/>
    </row>
    <row r="70" spans="1:17" x14ac:dyDescent="0.25">
      <c r="C70" s="50" t="s">
        <v>35</v>
      </c>
      <c r="I70" s="44">
        <v>4021065.4253083072</v>
      </c>
      <c r="J70" s="82"/>
      <c r="K70" s="5"/>
      <c r="L70" s="44">
        <f>I70</f>
        <v>4021065.4253083072</v>
      </c>
      <c r="M70" s="5"/>
      <c r="N70" s="5"/>
      <c r="O70" s="5"/>
      <c r="P70" s="5"/>
      <c r="Q70" s="5"/>
    </row>
    <row r="71" spans="1:17" x14ac:dyDescent="0.25">
      <c r="C71" s="50"/>
      <c r="I71" s="44"/>
      <c r="J71" s="82"/>
      <c r="K71" s="5"/>
      <c r="L71" s="44"/>
      <c r="M71" s="5"/>
      <c r="N71" s="5"/>
      <c r="O71" s="5"/>
      <c r="P71" s="5"/>
      <c r="Q71" s="5"/>
    </row>
    <row r="72" spans="1:17" x14ac:dyDescent="0.25">
      <c r="B72" s="39" t="s">
        <v>83</v>
      </c>
      <c r="I72" s="56"/>
      <c r="J72" s="56"/>
      <c r="K72" s="5"/>
      <c r="L72" s="56"/>
      <c r="M72" s="5"/>
      <c r="N72" s="58"/>
      <c r="O72" s="5"/>
      <c r="P72" s="5"/>
      <c r="Q72" s="5"/>
    </row>
    <row r="73" spans="1:17" x14ac:dyDescent="0.25">
      <c r="A73" s="6" t="s">
        <v>98</v>
      </c>
      <c r="B73" s="40"/>
      <c r="C73" s="17" t="s">
        <v>67</v>
      </c>
      <c r="E73" s="49">
        <v>0</v>
      </c>
      <c r="H73" s="45">
        <v>75</v>
      </c>
      <c r="I73" s="83">
        <f>E73*H73</f>
        <v>0</v>
      </c>
      <c r="J73" s="83"/>
      <c r="K73" s="45">
        <v>75</v>
      </c>
      <c r="L73" s="84">
        <f>E73*K73</f>
        <v>0</v>
      </c>
      <c r="M73" s="120"/>
      <c r="N73" s="58"/>
      <c r="O73" s="5"/>
      <c r="P73" s="5"/>
      <c r="Q73" s="5"/>
    </row>
    <row r="74" spans="1:17" x14ac:dyDescent="0.25">
      <c r="K74" s="5"/>
      <c r="L74" s="5"/>
      <c r="M74" s="5"/>
      <c r="N74" s="5"/>
      <c r="O74" s="5"/>
      <c r="P74" s="5"/>
      <c r="Q74" s="5"/>
    </row>
    <row r="75" spans="1:17" ht="16.5" thickBot="1" x14ac:dyDescent="0.3">
      <c r="B75" s="40"/>
      <c r="C75" s="40" t="s">
        <v>111</v>
      </c>
      <c r="I75" s="55">
        <f>I50+I66+SUM(I68:I70)+I73</f>
        <v>90494240.651483163</v>
      </c>
      <c r="J75" s="56"/>
      <c r="K75" s="5"/>
      <c r="L75" s="55">
        <f>L50+L66+SUM(L68:L70)+L73</f>
        <v>96197943.539010197</v>
      </c>
      <c r="M75" s="57"/>
      <c r="N75" s="58"/>
      <c r="O75" s="5"/>
      <c r="P75" s="5"/>
      <c r="Q75" s="5"/>
    </row>
    <row r="76" spans="1:17" ht="16.5" thickTop="1" x14ac:dyDescent="0.25">
      <c r="B76" s="40"/>
      <c r="I76" s="56"/>
      <c r="J76" s="56"/>
      <c r="K76" s="5"/>
      <c r="L76" s="5"/>
      <c r="M76" s="5"/>
      <c r="N76" s="58"/>
      <c r="O76" s="5"/>
      <c r="P76" s="5"/>
      <c r="Q76" s="5"/>
    </row>
    <row r="77" spans="1:17" x14ac:dyDescent="0.25">
      <c r="B77" s="40"/>
      <c r="C77" s="59" t="s">
        <v>81</v>
      </c>
      <c r="I77" s="56"/>
      <c r="J77" s="56"/>
      <c r="K77" s="5"/>
      <c r="L77" s="58">
        <f>L75-I75</f>
        <v>5703702.8875270337</v>
      </c>
      <c r="M77" s="60"/>
      <c r="N77" s="58"/>
      <c r="O77" s="5"/>
      <c r="P77" s="5"/>
      <c r="Q77" s="5"/>
    </row>
    <row r="78" spans="1:17" x14ac:dyDescent="0.25">
      <c r="B78" s="40"/>
      <c r="I78" s="56"/>
      <c r="J78" s="56"/>
      <c r="K78" s="5"/>
      <c r="L78" s="61">
        <f>L77/I75</f>
        <v>6.3028352373202132E-2</v>
      </c>
      <c r="M78" s="61"/>
      <c r="N78" s="58"/>
      <c r="O78" s="5"/>
      <c r="P78" s="5"/>
      <c r="Q78" s="5"/>
    </row>
    <row r="79" spans="1:17" x14ac:dyDescent="0.25">
      <c r="B79" s="40"/>
      <c r="I79" s="56"/>
      <c r="J79" s="56"/>
      <c r="K79" s="5"/>
      <c r="L79" s="126"/>
      <c r="M79" s="5"/>
      <c r="N79" s="58"/>
      <c r="O79" s="5"/>
      <c r="P79" s="5"/>
      <c r="Q79" s="5"/>
    </row>
    <row r="80" spans="1:17" x14ac:dyDescent="0.25">
      <c r="B80" s="39" t="s">
        <v>18</v>
      </c>
      <c r="D80" s="40"/>
      <c r="E80" s="25"/>
      <c r="F80" s="25"/>
      <c r="K80" s="58"/>
      <c r="L80" s="58"/>
      <c r="M80" s="5"/>
      <c r="N80" s="5"/>
      <c r="O80" s="5"/>
      <c r="P80" s="5"/>
      <c r="Q80" s="5"/>
    </row>
    <row r="81" spans="1:17" x14ac:dyDescent="0.25">
      <c r="B81" s="40"/>
      <c r="D81" s="40"/>
      <c r="E81" s="25"/>
      <c r="F81" s="25"/>
      <c r="K81" s="58"/>
      <c r="L81" s="58"/>
      <c r="M81" s="5"/>
      <c r="N81" s="5"/>
      <c r="O81" s="5"/>
      <c r="P81" s="5"/>
      <c r="Q81" s="5"/>
    </row>
    <row r="82" spans="1:17" x14ac:dyDescent="0.25">
      <c r="A82" s="6" t="s">
        <v>3</v>
      </c>
      <c r="B82" s="40" t="s">
        <v>144</v>
      </c>
      <c r="K82" s="5"/>
      <c r="L82" s="5"/>
      <c r="M82" s="5"/>
      <c r="N82" s="5"/>
      <c r="O82" s="5"/>
      <c r="P82" s="5"/>
      <c r="Q82" s="5"/>
    </row>
    <row r="83" spans="1:17" x14ac:dyDescent="0.25">
      <c r="B83" s="40"/>
      <c r="C83" s="62" t="s">
        <v>117</v>
      </c>
      <c r="K83" s="5"/>
      <c r="L83" s="44"/>
      <c r="M83" s="5"/>
      <c r="N83" s="5"/>
      <c r="O83" s="5"/>
      <c r="P83" s="5"/>
      <c r="Q83" s="5"/>
    </row>
    <row r="84" spans="1:17" x14ac:dyDescent="0.25">
      <c r="B84" s="63"/>
      <c r="C84" s="59" t="s">
        <v>134</v>
      </c>
      <c r="E84" s="49">
        <v>1602</v>
      </c>
      <c r="H84" s="45">
        <v>165</v>
      </c>
      <c r="I84" s="44">
        <f>+E84*H84</f>
        <v>264330</v>
      </c>
      <c r="J84" s="44"/>
      <c r="K84" s="45"/>
      <c r="L84" s="44"/>
      <c r="M84" s="5"/>
      <c r="N84" s="5"/>
      <c r="O84" s="57"/>
      <c r="P84" s="64"/>
      <c r="Q84" s="5"/>
    </row>
    <row r="85" spans="1:17" x14ac:dyDescent="0.25">
      <c r="B85" s="63"/>
      <c r="C85" s="59" t="s">
        <v>135</v>
      </c>
      <c r="E85" s="49">
        <v>1344</v>
      </c>
      <c r="H85" s="45">
        <v>750</v>
      </c>
      <c r="I85" s="44">
        <f>+E85*H85</f>
        <v>1008000</v>
      </c>
      <c r="J85" s="44"/>
      <c r="K85" s="45"/>
      <c r="L85" s="44"/>
      <c r="M85" s="5"/>
      <c r="N85" s="5"/>
      <c r="O85" s="57"/>
      <c r="P85" s="57"/>
      <c r="Q85" s="5"/>
    </row>
    <row r="86" spans="1:17" x14ac:dyDescent="0.25">
      <c r="B86" s="63"/>
      <c r="C86" s="59" t="s">
        <v>136</v>
      </c>
      <c r="E86" s="49">
        <v>48760.875</v>
      </c>
      <c r="H86" s="45"/>
      <c r="I86" s="44"/>
      <c r="J86" s="44"/>
      <c r="K86" s="45">
        <f>ROUND(H84/(365.25/12),2)</f>
        <v>5.42</v>
      </c>
      <c r="L86" s="44">
        <f>E86*K86</f>
        <v>264283.9425</v>
      </c>
      <c r="M86" s="79"/>
      <c r="N86" s="5"/>
      <c r="O86" s="57"/>
      <c r="P86" s="57"/>
      <c r="Q86" s="5"/>
    </row>
    <row r="87" spans="1:17" x14ac:dyDescent="0.25">
      <c r="B87" s="63"/>
      <c r="C87" s="59" t="s">
        <v>137</v>
      </c>
      <c r="E87" s="49">
        <v>40908</v>
      </c>
      <c r="H87" s="45"/>
      <c r="I87" s="44"/>
      <c r="J87" s="44"/>
      <c r="K87" s="45">
        <f>ROUND(H85/(365.25/12),2)</f>
        <v>24.64</v>
      </c>
      <c r="L87" s="44">
        <f>E87*K87</f>
        <v>1007973.12</v>
      </c>
      <c r="M87" s="79"/>
      <c r="N87" s="5"/>
      <c r="O87" s="57"/>
      <c r="P87" s="57"/>
      <c r="Q87" s="5"/>
    </row>
    <row r="88" spans="1:17" x14ac:dyDescent="0.25">
      <c r="C88" s="66" t="s">
        <v>106</v>
      </c>
      <c r="H88" s="67"/>
      <c r="K88" s="5"/>
      <c r="L88" s="86"/>
      <c r="M88" s="69"/>
      <c r="N88" s="5"/>
      <c r="O88" s="60"/>
      <c r="P88" s="5"/>
      <c r="Q88" s="5"/>
    </row>
    <row r="89" spans="1:17" x14ac:dyDescent="0.25">
      <c r="C89" s="17" t="s">
        <v>108</v>
      </c>
      <c r="F89" s="199">
        <v>1278359.2158810482</v>
      </c>
      <c r="H89" s="47">
        <v>2.1929000000000003</v>
      </c>
      <c r="I89" s="72">
        <f>+F89*H89</f>
        <v>2803313.9245055509</v>
      </c>
      <c r="J89" s="72"/>
      <c r="K89" s="47">
        <v>2.1928999999999998</v>
      </c>
      <c r="L89" s="44">
        <f>F89*K89</f>
        <v>2803313.9245055504</v>
      </c>
      <c r="M89" s="5"/>
      <c r="N89" s="5"/>
      <c r="O89" s="5"/>
      <c r="P89" s="5"/>
      <c r="Q89" s="5"/>
    </row>
    <row r="90" spans="1:17" x14ac:dyDescent="0.25">
      <c r="C90" s="73" t="s">
        <v>109</v>
      </c>
      <c r="D90" s="41"/>
      <c r="F90" s="91"/>
      <c r="G90" s="82">
        <v>164954.17974986261</v>
      </c>
      <c r="H90" s="47">
        <v>1.6928999999999998</v>
      </c>
      <c r="I90" s="74">
        <f>+H90*G90</f>
        <v>279250.9308985424</v>
      </c>
      <c r="J90" s="72"/>
      <c r="K90" s="47">
        <f>K89+(H90-H89)</f>
        <v>1.6928999999999994</v>
      </c>
      <c r="L90" s="48">
        <f>G90*K90</f>
        <v>279250.93089854234</v>
      </c>
      <c r="M90" s="5"/>
      <c r="N90" s="5"/>
      <c r="O90" s="5"/>
      <c r="P90" s="5"/>
      <c r="Q90" s="5"/>
    </row>
    <row r="91" spans="1:17" x14ac:dyDescent="0.25">
      <c r="C91" s="40" t="s">
        <v>25</v>
      </c>
      <c r="F91" s="91"/>
      <c r="G91" s="53"/>
      <c r="I91" s="87">
        <f>SUM(I84:I90)</f>
        <v>4354894.8554040929</v>
      </c>
      <c r="J91" s="87"/>
      <c r="K91" s="5"/>
      <c r="L91" s="87">
        <f>SUM(L84:L90)</f>
        <v>4354821.9179040929</v>
      </c>
      <c r="M91" s="5"/>
      <c r="N91" s="5"/>
      <c r="O91" s="5"/>
      <c r="P91" s="5"/>
      <c r="Q91" s="5"/>
    </row>
    <row r="92" spans="1:17" x14ac:dyDescent="0.25">
      <c r="C92" s="40"/>
      <c r="F92" s="91"/>
      <c r="G92" s="53"/>
      <c r="I92" s="87"/>
      <c r="J92" s="87"/>
      <c r="K92" s="5"/>
      <c r="L92" s="87"/>
      <c r="M92" s="5"/>
      <c r="N92" s="5"/>
      <c r="O92" s="5"/>
      <c r="P92" s="5"/>
      <c r="Q92" s="5"/>
    </row>
    <row r="93" spans="1:17" x14ac:dyDescent="0.25">
      <c r="C93" s="40" t="s">
        <v>87</v>
      </c>
      <c r="F93" s="91"/>
      <c r="G93" s="53" t="s">
        <v>107</v>
      </c>
      <c r="H93" s="51">
        <v>1</v>
      </c>
      <c r="I93" s="87">
        <f>I91/H93</f>
        <v>4354894.8554040929</v>
      </c>
      <c r="J93" s="87"/>
      <c r="K93" s="75">
        <f>H93</f>
        <v>1</v>
      </c>
      <c r="L93" s="87">
        <f>L91/K93</f>
        <v>4354821.9179040929</v>
      </c>
      <c r="M93" s="5"/>
      <c r="N93" s="5"/>
      <c r="O93" s="5"/>
      <c r="P93" s="5"/>
      <c r="Q93" s="5"/>
    </row>
    <row r="94" spans="1:17" x14ac:dyDescent="0.25">
      <c r="F94" s="91"/>
      <c r="G94" s="53"/>
      <c r="I94" s="88"/>
      <c r="J94" s="88"/>
      <c r="K94" s="5"/>
      <c r="L94" s="5"/>
      <c r="M94" s="5"/>
      <c r="N94" s="5"/>
      <c r="O94" s="5"/>
      <c r="P94" s="5"/>
      <c r="Q94" s="5"/>
    </row>
    <row r="95" spans="1:17" x14ac:dyDescent="0.25">
      <c r="A95" s="89" t="s">
        <v>88</v>
      </c>
      <c r="B95" s="36" t="s">
        <v>145</v>
      </c>
      <c r="F95" s="91"/>
      <c r="G95" s="53"/>
      <c r="I95" s="90"/>
      <c r="J95" s="90"/>
      <c r="K95" s="5"/>
      <c r="L95" s="5"/>
      <c r="M95" s="5"/>
      <c r="N95" s="5"/>
      <c r="O95" s="5"/>
      <c r="P95" s="5"/>
      <c r="Q95" s="5"/>
    </row>
    <row r="96" spans="1:17" x14ac:dyDescent="0.25">
      <c r="C96" s="17" t="s">
        <v>17</v>
      </c>
      <c r="E96" s="49">
        <v>60</v>
      </c>
      <c r="F96" s="91"/>
      <c r="H96" s="45">
        <v>550</v>
      </c>
      <c r="I96" s="84">
        <f>E96*H96</f>
        <v>33000</v>
      </c>
      <c r="J96" s="84"/>
      <c r="K96" s="45">
        <v>550</v>
      </c>
      <c r="L96" s="84">
        <f>E96*K96</f>
        <v>33000</v>
      </c>
      <c r="M96" s="5"/>
      <c r="N96" s="5"/>
      <c r="O96" s="5"/>
      <c r="P96" s="5"/>
      <c r="Q96" s="5"/>
    </row>
    <row r="97" spans="3:17" x14ac:dyDescent="0.25">
      <c r="C97" s="62" t="s">
        <v>117</v>
      </c>
      <c r="E97" s="49"/>
      <c r="F97" s="91"/>
      <c r="H97" s="45"/>
      <c r="I97" s="84"/>
      <c r="J97" s="84"/>
      <c r="K97" s="45"/>
      <c r="L97" s="84"/>
      <c r="M97" s="5"/>
      <c r="N97" s="5"/>
      <c r="O97" s="5"/>
      <c r="P97" s="5"/>
      <c r="Q97" s="5"/>
    </row>
    <row r="98" spans="3:17" x14ac:dyDescent="0.25">
      <c r="C98" s="59" t="s">
        <v>134</v>
      </c>
      <c r="E98" s="49">
        <v>0</v>
      </c>
      <c r="F98" s="91"/>
      <c r="H98" s="45">
        <v>165</v>
      </c>
      <c r="I98" s="44">
        <f>+E98*H98</f>
        <v>0</v>
      </c>
      <c r="J98" s="84"/>
      <c r="K98" s="45"/>
      <c r="L98" s="84"/>
      <c r="M98" s="5"/>
      <c r="N98" s="5"/>
      <c r="O98" s="5"/>
      <c r="P98" s="5"/>
      <c r="Q98" s="5"/>
    </row>
    <row r="99" spans="3:17" x14ac:dyDescent="0.25">
      <c r="C99" s="59" t="s">
        <v>135</v>
      </c>
      <c r="E99" s="49">
        <v>60</v>
      </c>
      <c r="F99" s="91"/>
      <c r="H99" s="45">
        <v>750</v>
      </c>
      <c r="I99" s="44">
        <f>+E99*H99</f>
        <v>45000</v>
      </c>
      <c r="J99" s="84"/>
      <c r="K99" s="45"/>
      <c r="L99" s="84"/>
      <c r="M99" s="5"/>
      <c r="N99" s="5"/>
      <c r="O99" s="5"/>
      <c r="P99" s="5"/>
      <c r="Q99" s="5"/>
    </row>
    <row r="100" spans="3:17" x14ac:dyDescent="0.25">
      <c r="C100" s="59" t="s">
        <v>136</v>
      </c>
      <c r="E100" s="49">
        <v>0</v>
      </c>
      <c r="F100" s="91"/>
      <c r="H100" s="45"/>
      <c r="I100" s="44"/>
      <c r="J100" s="84"/>
      <c r="K100" s="45">
        <f>K86</f>
        <v>5.42</v>
      </c>
      <c r="L100" s="84">
        <f>E100*K100</f>
        <v>0</v>
      </c>
      <c r="M100" s="5"/>
      <c r="N100" s="5"/>
      <c r="O100" s="5"/>
      <c r="P100" s="5"/>
      <c r="Q100" s="5"/>
    </row>
    <row r="101" spans="3:17" x14ac:dyDescent="0.25">
      <c r="C101" s="59" t="s">
        <v>137</v>
      </c>
      <c r="E101" s="49">
        <v>1826.25</v>
      </c>
      <c r="F101" s="91"/>
      <c r="H101" s="45"/>
      <c r="I101" s="44"/>
      <c r="J101" s="84"/>
      <c r="K101" s="45">
        <f>K87</f>
        <v>24.64</v>
      </c>
      <c r="L101" s="84">
        <f>E101*K101</f>
        <v>44998.8</v>
      </c>
      <c r="M101" s="5"/>
      <c r="N101" s="5"/>
      <c r="O101" s="5"/>
      <c r="P101" s="5"/>
      <c r="Q101" s="5"/>
    </row>
    <row r="102" spans="3:17" x14ac:dyDescent="0.25">
      <c r="C102" s="66" t="s">
        <v>106</v>
      </c>
      <c r="E102" s="49"/>
      <c r="F102" s="91"/>
      <c r="H102" s="45"/>
      <c r="J102" s="84"/>
      <c r="K102" s="45"/>
      <c r="L102" s="84"/>
      <c r="M102" s="5"/>
      <c r="N102" s="5"/>
      <c r="O102" s="5"/>
      <c r="P102" s="5"/>
      <c r="Q102" s="5"/>
    </row>
    <row r="103" spans="3:17" x14ac:dyDescent="0.25">
      <c r="C103" s="17" t="s">
        <v>108</v>
      </c>
      <c r="E103" s="49"/>
      <c r="F103" s="199">
        <v>115657.89837235236</v>
      </c>
      <c r="H103" s="47">
        <v>2.1929000000000003</v>
      </c>
      <c r="I103" s="72">
        <f>+F103*H103</f>
        <v>253626.20534073151</v>
      </c>
      <c r="J103" s="84"/>
      <c r="K103" s="47">
        <v>2.1928999999999998</v>
      </c>
      <c r="L103" s="84">
        <f>F103*K103</f>
        <v>253626.20534073145</v>
      </c>
      <c r="M103" s="5"/>
      <c r="N103" s="5"/>
      <c r="O103" s="5"/>
      <c r="P103" s="5"/>
      <c r="Q103" s="5"/>
    </row>
    <row r="104" spans="3:17" x14ac:dyDescent="0.25">
      <c r="C104" s="73" t="s">
        <v>109</v>
      </c>
      <c r="E104" s="49"/>
      <c r="F104" s="91"/>
      <c r="G104" s="91">
        <v>234694.02259415333</v>
      </c>
      <c r="H104" s="47">
        <v>1.6928999999999998</v>
      </c>
      <c r="I104" s="74">
        <f>+H104*G104</f>
        <v>397313.51084964216</v>
      </c>
      <c r="J104" s="84"/>
      <c r="K104" s="47">
        <v>1.6929000000000001</v>
      </c>
      <c r="L104" s="74">
        <f>G104*K104</f>
        <v>397313.51084964216</v>
      </c>
      <c r="M104" s="5"/>
      <c r="N104" s="5"/>
      <c r="O104" s="5"/>
      <c r="P104" s="5"/>
      <c r="Q104" s="5"/>
    </row>
    <row r="105" spans="3:17" x14ac:dyDescent="0.25">
      <c r="C105" s="40" t="s">
        <v>25</v>
      </c>
      <c r="H105" s="92"/>
      <c r="I105" s="87">
        <f>SUM(I96:I104)</f>
        <v>728939.71619037376</v>
      </c>
      <c r="J105" s="93"/>
      <c r="K105" s="5"/>
      <c r="L105" s="87">
        <f>SUM(L96:L104)</f>
        <v>728938.51619037357</v>
      </c>
      <c r="M105" s="5"/>
      <c r="N105" s="5"/>
      <c r="O105" s="5"/>
      <c r="P105" s="5"/>
      <c r="Q105" s="5"/>
    </row>
    <row r="106" spans="3:17" x14ac:dyDescent="0.25">
      <c r="C106" s="40"/>
      <c r="H106" s="92"/>
      <c r="I106" s="93"/>
      <c r="J106" s="93"/>
      <c r="K106" s="5"/>
      <c r="L106" s="93"/>
      <c r="M106" s="5"/>
      <c r="N106" s="5"/>
      <c r="O106" s="5"/>
      <c r="P106" s="5"/>
      <c r="Q106" s="5"/>
    </row>
    <row r="107" spans="3:17" x14ac:dyDescent="0.25">
      <c r="C107" s="40" t="s">
        <v>87</v>
      </c>
      <c r="G107" s="24" t="s">
        <v>107</v>
      </c>
      <c r="H107" s="51">
        <v>1</v>
      </c>
      <c r="I107" s="93">
        <f>I105/H107</f>
        <v>728939.71619037376</v>
      </c>
      <c r="J107" s="93"/>
      <c r="K107" s="75">
        <f>H107</f>
        <v>1</v>
      </c>
      <c r="L107" s="93">
        <f>L105/K107</f>
        <v>728938.51619037357</v>
      </c>
      <c r="M107" s="5"/>
      <c r="N107" s="5"/>
      <c r="O107" s="5"/>
      <c r="P107" s="5"/>
      <c r="Q107" s="5"/>
    </row>
    <row r="108" spans="3:17" x14ac:dyDescent="0.25">
      <c r="H108" s="92"/>
      <c r="I108" s="94"/>
      <c r="J108" s="94"/>
      <c r="K108" s="5"/>
      <c r="L108" s="84"/>
      <c r="M108" s="5"/>
      <c r="N108" s="5"/>
      <c r="O108" s="5"/>
      <c r="P108" s="5"/>
      <c r="Q108" s="5"/>
    </row>
    <row r="109" spans="3:17" x14ac:dyDescent="0.25">
      <c r="C109" s="50" t="s">
        <v>38</v>
      </c>
      <c r="H109" s="92"/>
      <c r="I109" s="44">
        <v>5367345.912275007</v>
      </c>
      <c r="J109" s="95"/>
      <c r="K109" s="5"/>
      <c r="L109" s="84">
        <f>I109</f>
        <v>5367345.912275007</v>
      </c>
      <c r="M109" s="5"/>
      <c r="N109" s="5"/>
      <c r="O109" s="5"/>
      <c r="P109" s="5"/>
      <c r="Q109" s="5"/>
    </row>
    <row r="110" spans="3:17" x14ac:dyDescent="0.25">
      <c r="C110" s="50" t="s">
        <v>39</v>
      </c>
      <c r="H110" s="92"/>
      <c r="I110" s="44">
        <v>0</v>
      </c>
      <c r="J110" s="82"/>
      <c r="K110" s="5"/>
      <c r="L110" s="84">
        <f>I110</f>
        <v>0</v>
      </c>
      <c r="M110" s="5"/>
      <c r="N110" s="5"/>
      <c r="O110" s="5"/>
      <c r="P110" s="5"/>
      <c r="Q110" s="5"/>
    </row>
    <row r="111" spans="3:17" x14ac:dyDescent="0.25">
      <c r="C111" s="50" t="s">
        <v>35</v>
      </c>
      <c r="I111" s="44">
        <v>514378.39326577989</v>
      </c>
      <c r="K111" s="5"/>
      <c r="L111" s="58">
        <f>I111</f>
        <v>514378.39326577989</v>
      </c>
      <c r="M111" s="5"/>
      <c r="N111" s="5"/>
      <c r="O111" s="5"/>
      <c r="P111" s="5"/>
      <c r="Q111" s="5"/>
    </row>
    <row r="112" spans="3:17" x14ac:dyDescent="0.25">
      <c r="C112" s="50"/>
      <c r="K112" s="5"/>
      <c r="L112" s="5"/>
      <c r="M112" s="5"/>
      <c r="N112" s="5"/>
      <c r="O112" s="5"/>
      <c r="P112" s="5"/>
      <c r="Q112" s="5"/>
    </row>
    <row r="113" spans="1:17" x14ac:dyDescent="0.25">
      <c r="A113" s="96" t="s">
        <v>100</v>
      </c>
      <c r="B113" s="36" t="s">
        <v>83</v>
      </c>
      <c r="C113" s="90"/>
      <c r="I113" s="56"/>
      <c r="J113" s="56"/>
      <c r="K113" s="5"/>
      <c r="L113" s="56"/>
      <c r="M113" s="5"/>
      <c r="N113" s="58"/>
      <c r="O113" s="5"/>
      <c r="P113" s="5"/>
      <c r="Q113" s="5"/>
    </row>
    <row r="114" spans="1:17" x14ac:dyDescent="0.25">
      <c r="B114" s="40"/>
      <c r="C114" s="17" t="s">
        <v>67</v>
      </c>
      <c r="E114" s="49">
        <v>24</v>
      </c>
      <c r="H114" s="45">
        <v>75</v>
      </c>
      <c r="I114" s="83">
        <f>E114*H114</f>
        <v>1800</v>
      </c>
      <c r="J114" s="83"/>
      <c r="K114" s="45">
        <v>75</v>
      </c>
      <c r="L114" s="84">
        <f>E114*K114</f>
        <v>1800</v>
      </c>
      <c r="M114" s="5"/>
      <c r="N114" s="58"/>
      <c r="O114" s="5"/>
      <c r="P114" s="5"/>
      <c r="Q114" s="5"/>
    </row>
    <row r="115" spans="1:17" x14ac:dyDescent="0.25">
      <c r="C115" s="50"/>
      <c r="K115" s="5"/>
      <c r="L115" s="5"/>
      <c r="M115" s="5"/>
      <c r="N115" s="5"/>
      <c r="O115" s="5"/>
      <c r="P115" s="5"/>
      <c r="Q115" s="5"/>
    </row>
    <row r="116" spans="1:17" ht="16.5" thickBot="1" x14ac:dyDescent="0.3">
      <c r="B116" s="40" t="s">
        <v>19</v>
      </c>
      <c r="I116" s="55">
        <f>I93+I107+SUM(I109:I111)+I114</f>
        <v>10967358.877135254</v>
      </c>
      <c r="J116" s="56"/>
      <c r="K116" s="5"/>
      <c r="L116" s="55">
        <f>L93+L107+SUM(L109:L111)+L114</f>
        <v>10967284.739635253</v>
      </c>
      <c r="M116" s="5"/>
      <c r="N116" s="58"/>
      <c r="O116" s="5"/>
      <c r="P116" s="5"/>
      <c r="Q116" s="5"/>
    </row>
    <row r="117" spans="1:17" ht="16.5" thickTop="1" x14ac:dyDescent="0.25">
      <c r="B117" s="40"/>
      <c r="I117" s="56"/>
      <c r="J117" s="56"/>
      <c r="K117" s="5"/>
      <c r="L117" s="56"/>
      <c r="M117" s="5"/>
      <c r="N117" s="58"/>
      <c r="O117" s="5"/>
      <c r="P117" s="5"/>
      <c r="Q117" s="5"/>
    </row>
    <row r="118" spans="1:17" x14ac:dyDescent="0.25">
      <c r="B118" s="40"/>
      <c r="C118" s="59" t="s">
        <v>81</v>
      </c>
      <c r="I118" s="56"/>
      <c r="J118" s="56"/>
      <c r="K118" s="5"/>
      <c r="L118" s="97">
        <f>L116-I116</f>
        <v>-74.137500001117587</v>
      </c>
      <c r="M118" s="5"/>
      <c r="N118" s="58"/>
      <c r="O118" s="5"/>
      <c r="P118" s="5"/>
      <c r="Q118" s="5"/>
    </row>
    <row r="119" spans="1:17" x14ac:dyDescent="0.25">
      <c r="B119" s="40"/>
      <c r="I119" s="56"/>
      <c r="J119" s="56"/>
      <c r="K119" s="5"/>
      <c r="L119" s="61">
        <f>L118/I116</f>
        <v>-6.7598316815983306E-6</v>
      </c>
      <c r="M119" s="5"/>
      <c r="N119" s="58"/>
      <c r="O119" s="5"/>
      <c r="P119" s="5"/>
      <c r="Q119" s="5"/>
    </row>
    <row r="120" spans="1:17" x14ac:dyDescent="0.25">
      <c r="K120" s="5"/>
      <c r="L120" s="126"/>
      <c r="M120" s="5"/>
      <c r="N120" s="5"/>
      <c r="O120" s="5"/>
      <c r="P120" s="5"/>
      <c r="Q120" s="5"/>
    </row>
    <row r="121" spans="1:17" x14ac:dyDescent="0.25">
      <c r="B121" s="98" t="s">
        <v>122</v>
      </c>
      <c r="K121" s="5"/>
      <c r="L121" s="5"/>
      <c r="M121" s="5"/>
      <c r="N121" s="5"/>
      <c r="O121" s="5"/>
      <c r="P121" s="5"/>
      <c r="Q121" s="5"/>
    </row>
    <row r="122" spans="1:17" x14ac:dyDescent="0.25">
      <c r="K122" s="5"/>
      <c r="L122" s="5"/>
      <c r="M122" s="5"/>
      <c r="N122" s="5"/>
      <c r="O122" s="5"/>
      <c r="P122" s="5"/>
      <c r="Q122" s="5"/>
    </row>
    <row r="123" spans="1:17" x14ac:dyDescent="0.25">
      <c r="A123" s="6" t="s">
        <v>22</v>
      </c>
      <c r="B123" s="99" t="s">
        <v>146</v>
      </c>
      <c r="K123" s="5"/>
      <c r="L123" s="5"/>
      <c r="M123" s="5"/>
      <c r="N123" s="5"/>
      <c r="O123" s="5"/>
      <c r="P123" s="5"/>
      <c r="Q123" s="5"/>
    </row>
    <row r="124" spans="1:17" x14ac:dyDescent="0.25">
      <c r="A124" s="89"/>
      <c r="C124" s="62" t="s">
        <v>117</v>
      </c>
      <c r="E124" s="49"/>
      <c r="K124" s="5"/>
      <c r="L124" s="72"/>
      <c r="M124" s="5"/>
      <c r="N124" s="5"/>
      <c r="O124" s="5"/>
      <c r="P124" s="5"/>
      <c r="Q124" s="5"/>
    </row>
    <row r="125" spans="1:17" x14ac:dyDescent="0.25">
      <c r="C125" s="17" t="s">
        <v>132</v>
      </c>
      <c r="E125" s="24">
        <v>48</v>
      </c>
      <c r="H125" s="45">
        <v>500</v>
      </c>
      <c r="I125" s="72">
        <f>E125*H125</f>
        <v>24000</v>
      </c>
      <c r="J125" s="72"/>
      <c r="K125" s="45">
        <v>500</v>
      </c>
      <c r="L125" s="72">
        <f>E125*K125</f>
        <v>24000</v>
      </c>
      <c r="M125" s="5"/>
      <c r="N125" s="5"/>
      <c r="O125" s="5"/>
      <c r="P125" s="5"/>
      <c r="Q125" s="5"/>
    </row>
    <row r="126" spans="1:17" x14ac:dyDescent="0.25">
      <c r="C126" s="73" t="s">
        <v>0</v>
      </c>
      <c r="F126" s="49">
        <v>146050.7309915339</v>
      </c>
      <c r="H126" s="47">
        <v>1.0644</v>
      </c>
      <c r="I126" s="74">
        <f>+F126*H126</f>
        <v>155456.39806738868</v>
      </c>
      <c r="J126" s="72"/>
      <c r="K126" s="47">
        <v>1.0644</v>
      </c>
      <c r="L126" s="74">
        <f>F126*K126</f>
        <v>155456.39806738868</v>
      </c>
      <c r="M126" s="5"/>
      <c r="N126" s="5"/>
      <c r="O126" s="5"/>
      <c r="P126" s="5"/>
      <c r="Q126" s="5"/>
    </row>
    <row r="127" spans="1:17" x14ac:dyDescent="0.25">
      <c r="C127" s="40" t="s">
        <v>25</v>
      </c>
      <c r="I127" s="87">
        <f>SUM(I125:I126)</f>
        <v>179456.39806738868</v>
      </c>
      <c r="J127" s="87"/>
      <c r="K127" s="5"/>
      <c r="L127" s="87">
        <f>SUM(L125:L126)</f>
        <v>179456.39806738868</v>
      </c>
      <c r="M127" s="5"/>
      <c r="N127" s="5"/>
      <c r="O127" s="5"/>
      <c r="P127" s="5"/>
      <c r="Q127" s="5"/>
    </row>
    <row r="128" spans="1:17" x14ac:dyDescent="0.25">
      <c r="C128" s="40"/>
      <c r="I128" s="87"/>
      <c r="J128" s="87"/>
      <c r="K128" s="5"/>
      <c r="L128" s="87"/>
      <c r="M128" s="5"/>
      <c r="N128" s="5"/>
      <c r="O128" s="5"/>
      <c r="P128" s="5"/>
      <c r="Q128" s="5"/>
    </row>
    <row r="129" spans="1:17" x14ac:dyDescent="0.25">
      <c r="C129" s="40" t="s">
        <v>87</v>
      </c>
      <c r="G129" s="24" t="s">
        <v>107</v>
      </c>
      <c r="H129" s="51">
        <v>1</v>
      </c>
      <c r="I129" s="87">
        <f>I127/H129</f>
        <v>179456.39806738868</v>
      </c>
      <c r="J129" s="87"/>
      <c r="K129" s="75">
        <f>H129</f>
        <v>1</v>
      </c>
      <c r="L129" s="87">
        <f>L127/K129</f>
        <v>179456.39806738868</v>
      </c>
      <c r="M129" s="5"/>
      <c r="N129" s="5"/>
      <c r="O129" s="5"/>
      <c r="P129" s="5"/>
      <c r="Q129" s="5"/>
    </row>
    <row r="130" spans="1:17" x14ac:dyDescent="0.25">
      <c r="I130" s="90"/>
      <c r="J130" s="90"/>
      <c r="K130" s="5"/>
      <c r="L130" s="72"/>
      <c r="M130" s="5"/>
      <c r="N130" s="5"/>
      <c r="O130" s="5"/>
      <c r="P130" s="5"/>
      <c r="Q130" s="5"/>
    </row>
    <row r="131" spans="1:17" x14ac:dyDescent="0.25">
      <c r="A131" s="6" t="s">
        <v>59</v>
      </c>
      <c r="B131" s="36" t="s">
        <v>147</v>
      </c>
      <c r="K131" s="5"/>
      <c r="L131" s="72"/>
      <c r="M131" s="5"/>
      <c r="N131" s="5"/>
      <c r="O131" s="5"/>
      <c r="P131" s="5"/>
      <c r="Q131" s="5"/>
    </row>
    <row r="132" spans="1:17" x14ac:dyDescent="0.25">
      <c r="B132" s="36"/>
      <c r="C132" s="17" t="s">
        <v>26</v>
      </c>
      <c r="E132" s="24">
        <v>12</v>
      </c>
      <c r="H132" s="45">
        <v>550</v>
      </c>
      <c r="I132" s="44">
        <f>E132*H132</f>
        <v>6600</v>
      </c>
      <c r="J132" s="44"/>
      <c r="K132" s="45">
        <v>550</v>
      </c>
      <c r="L132" s="72">
        <f>E132*K132</f>
        <v>6600</v>
      </c>
      <c r="M132" s="5"/>
      <c r="N132" s="5"/>
      <c r="O132" s="5"/>
      <c r="P132" s="5"/>
      <c r="Q132" s="5"/>
    </row>
    <row r="133" spans="1:17" x14ac:dyDescent="0.25">
      <c r="B133" s="36"/>
      <c r="C133" s="62" t="s">
        <v>117</v>
      </c>
      <c r="H133" s="45"/>
      <c r="I133" s="44"/>
      <c r="J133" s="44"/>
      <c r="K133" s="45"/>
      <c r="L133" s="72"/>
      <c r="M133" s="5"/>
      <c r="N133" s="5"/>
      <c r="O133" s="5"/>
      <c r="P133" s="5"/>
      <c r="Q133" s="5"/>
    </row>
    <row r="134" spans="1:17" x14ac:dyDescent="0.25">
      <c r="B134" s="36"/>
      <c r="C134" s="17" t="s">
        <v>132</v>
      </c>
      <c r="E134" s="24">
        <v>12</v>
      </c>
      <c r="H134" s="45">
        <v>500</v>
      </c>
      <c r="I134" s="44">
        <f>E134*H134</f>
        <v>6000</v>
      </c>
      <c r="J134" s="44"/>
      <c r="K134" s="45">
        <v>500</v>
      </c>
      <c r="L134" s="72">
        <f>E134*K134</f>
        <v>6000</v>
      </c>
      <c r="M134" s="5"/>
      <c r="N134" s="5"/>
      <c r="O134" s="5"/>
      <c r="P134" s="5"/>
      <c r="Q134" s="5"/>
    </row>
    <row r="135" spans="1:17" x14ac:dyDescent="0.25">
      <c r="B135" s="36"/>
      <c r="C135" s="73" t="s">
        <v>0</v>
      </c>
      <c r="F135" s="49">
        <v>69850.904006060024</v>
      </c>
      <c r="H135" s="47">
        <v>1.0644</v>
      </c>
      <c r="I135" s="48">
        <f>F135*H135</f>
        <v>74349.302224050291</v>
      </c>
      <c r="J135" s="44"/>
      <c r="K135" s="47">
        <v>1.0644</v>
      </c>
      <c r="L135" s="74">
        <f>F135*K135</f>
        <v>74349.302224050291</v>
      </c>
      <c r="M135" s="5"/>
      <c r="N135" s="5"/>
      <c r="O135" s="5"/>
      <c r="P135" s="5"/>
      <c r="Q135" s="5"/>
    </row>
    <row r="136" spans="1:17" x14ac:dyDescent="0.25">
      <c r="B136" s="36"/>
      <c r="C136" s="40" t="s">
        <v>25</v>
      </c>
      <c r="H136" s="45"/>
      <c r="I136" s="52">
        <f>SUM(I132:I135)</f>
        <v>86949.302224050291</v>
      </c>
      <c r="J136" s="44"/>
      <c r="K136" s="45"/>
      <c r="L136" s="52">
        <f>SUM(L132:L135)</f>
        <v>86949.302224050291</v>
      </c>
      <c r="M136" s="5"/>
      <c r="N136" s="5"/>
      <c r="O136" s="5"/>
      <c r="P136" s="5"/>
      <c r="Q136" s="5"/>
    </row>
    <row r="137" spans="1:17" x14ac:dyDescent="0.25">
      <c r="B137" s="36"/>
      <c r="H137" s="45"/>
      <c r="I137" s="44"/>
      <c r="J137" s="44"/>
      <c r="K137" s="45"/>
      <c r="L137" s="72"/>
      <c r="M137" s="5"/>
      <c r="N137" s="5"/>
      <c r="O137" s="5"/>
      <c r="P137" s="5"/>
      <c r="Q137" s="5"/>
    </row>
    <row r="138" spans="1:17" x14ac:dyDescent="0.25">
      <c r="B138" s="36"/>
      <c r="C138" s="40" t="s">
        <v>87</v>
      </c>
      <c r="D138" s="90"/>
      <c r="E138" s="100"/>
      <c r="F138" s="49"/>
      <c r="G138" s="41" t="s">
        <v>107</v>
      </c>
      <c r="H138" s="51">
        <v>1</v>
      </c>
      <c r="I138" s="87">
        <f>I136/H138</f>
        <v>86949.302224050291</v>
      </c>
      <c r="J138" s="87"/>
      <c r="K138" s="75">
        <f>H138</f>
        <v>1</v>
      </c>
      <c r="L138" s="87">
        <f>L136/K138</f>
        <v>86949.302224050291</v>
      </c>
      <c r="M138" s="5"/>
      <c r="N138" s="5"/>
      <c r="O138" s="5"/>
      <c r="P138" s="5"/>
      <c r="Q138" s="5"/>
    </row>
    <row r="139" spans="1:17" x14ac:dyDescent="0.25">
      <c r="B139" s="36"/>
      <c r="C139" s="6"/>
      <c r="D139" s="90"/>
      <c r="E139" s="100"/>
      <c r="F139" s="49"/>
      <c r="H139" s="92"/>
      <c r="I139" s="44"/>
      <c r="J139" s="44"/>
      <c r="K139" s="5"/>
      <c r="L139" s="72"/>
      <c r="M139" s="5"/>
      <c r="N139" s="5"/>
      <c r="O139" s="5"/>
      <c r="P139" s="5"/>
      <c r="Q139" s="5"/>
    </row>
    <row r="140" spans="1:17" x14ac:dyDescent="0.25">
      <c r="C140" s="50" t="s">
        <v>38</v>
      </c>
      <c r="D140" s="6"/>
      <c r="E140" s="54"/>
      <c r="F140" s="54"/>
      <c r="G140" s="54"/>
      <c r="H140" s="6"/>
      <c r="I140" s="44">
        <v>517528.54390253476</v>
      </c>
      <c r="J140" s="72"/>
      <c r="K140" s="5"/>
      <c r="L140" s="72">
        <f>I140</f>
        <v>517528.54390253476</v>
      </c>
      <c r="M140" s="5"/>
      <c r="N140" s="5"/>
      <c r="O140" s="5"/>
      <c r="P140" s="5"/>
      <c r="Q140" s="5"/>
    </row>
    <row r="141" spans="1:17" x14ac:dyDescent="0.25">
      <c r="C141" s="50" t="s">
        <v>39</v>
      </c>
      <c r="F141" s="49"/>
      <c r="H141" s="67"/>
      <c r="I141" s="44">
        <v>8718.2144299590746</v>
      </c>
      <c r="J141" s="72"/>
      <c r="K141" s="5"/>
      <c r="L141" s="72">
        <f t="shared" ref="L141" si="2">I141</f>
        <v>8718.2144299590746</v>
      </c>
      <c r="M141" s="5"/>
      <c r="N141" s="5"/>
      <c r="O141" s="5"/>
      <c r="P141" s="5"/>
      <c r="Q141" s="5"/>
    </row>
    <row r="142" spans="1:17" x14ac:dyDescent="0.25">
      <c r="C142" s="50" t="s">
        <v>35</v>
      </c>
      <c r="F142" s="49"/>
      <c r="H142" s="67"/>
      <c r="I142" s="44">
        <v>40082.111565497587</v>
      </c>
      <c r="J142" s="72"/>
      <c r="K142" s="5"/>
      <c r="L142" s="72">
        <f>I142</f>
        <v>40082.111565497587</v>
      </c>
      <c r="M142" s="5"/>
      <c r="N142" s="5"/>
      <c r="O142" s="5"/>
      <c r="P142" s="5"/>
      <c r="Q142" s="5"/>
    </row>
    <row r="143" spans="1:17" x14ac:dyDescent="0.25">
      <c r="D143" s="90"/>
      <c r="E143" s="100"/>
      <c r="F143" s="100"/>
      <c r="G143" s="54"/>
      <c r="H143" s="6"/>
      <c r="I143" s="6"/>
      <c r="J143" s="6"/>
      <c r="K143" s="5"/>
      <c r="L143" s="72"/>
      <c r="M143" s="5"/>
      <c r="N143" s="5"/>
      <c r="O143" s="5"/>
      <c r="P143" s="5"/>
      <c r="Q143" s="5"/>
    </row>
    <row r="144" spans="1:17" x14ac:dyDescent="0.25">
      <c r="A144" s="6" t="s">
        <v>60</v>
      </c>
      <c r="B144" s="39" t="s">
        <v>83</v>
      </c>
      <c r="I144" s="56"/>
      <c r="J144" s="56"/>
      <c r="K144" s="5"/>
      <c r="L144" s="56"/>
      <c r="M144" s="5"/>
      <c r="N144" s="58"/>
      <c r="O144" s="5"/>
      <c r="P144" s="5"/>
      <c r="Q144" s="5"/>
    </row>
    <row r="145" spans="1:17" x14ac:dyDescent="0.25">
      <c r="B145" s="40"/>
      <c r="C145" s="17" t="s">
        <v>67</v>
      </c>
      <c r="E145" s="49">
        <v>0</v>
      </c>
      <c r="H145" s="45">
        <v>75</v>
      </c>
      <c r="I145" s="83">
        <f>E145*H145</f>
        <v>0</v>
      </c>
      <c r="J145" s="83"/>
      <c r="K145" s="45">
        <v>75</v>
      </c>
      <c r="L145" s="84">
        <f>E145*K145</f>
        <v>0</v>
      </c>
      <c r="M145" s="5"/>
      <c r="N145" s="58"/>
      <c r="O145" s="5"/>
      <c r="P145" s="5"/>
      <c r="Q145" s="5"/>
    </row>
    <row r="146" spans="1:17" x14ac:dyDescent="0.25">
      <c r="D146" s="90"/>
      <c r="E146" s="100"/>
      <c r="F146" s="100"/>
      <c r="G146" s="54"/>
      <c r="H146" s="6"/>
      <c r="I146" s="6"/>
      <c r="J146" s="6"/>
      <c r="K146" s="5"/>
      <c r="L146" s="72"/>
      <c r="M146" s="5"/>
      <c r="N146" s="5"/>
      <c r="O146" s="5"/>
      <c r="P146" s="5"/>
      <c r="Q146" s="5"/>
    </row>
    <row r="147" spans="1:17" ht="16.5" thickBot="1" x14ac:dyDescent="0.3">
      <c r="B147" s="40" t="s">
        <v>20</v>
      </c>
      <c r="D147" s="90"/>
      <c r="E147" s="100"/>
      <c r="F147" s="100"/>
      <c r="I147" s="55">
        <f>I129+I138+SUM(I140:I142)+I145</f>
        <v>832734.57018943038</v>
      </c>
      <c r="J147" s="56"/>
      <c r="K147" s="5"/>
      <c r="L147" s="55">
        <f>L129+L138+SUM(L140:L142)+L145</f>
        <v>832734.57018943038</v>
      </c>
      <c r="M147" s="5"/>
      <c r="N147" s="58"/>
      <c r="O147" s="5"/>
      <c r="P147" s="5"/>
      <c r="Q147" s="5"/>
    </row>
    <row r="148" spans="1:17" ht="16.5" thickTop="1" x14ac:dyDescent="0.25">
      <c r="B148" s="40"/>
      <c r="D148" s="90"/>
      <c r="E148" s="100"/>
      <c r="F148" s="100"/>
      <c r="I148" s="56"/>
      <c r="J148" s="56"/>
      <c r="K148" s="5"/>
      <c r="L148" s="72"/>
      <c r="M148" s="5"/>
      <c r="N148" s="58"/>
      <c r="O148" s="5"/>
      <c r="P148" s="5"/>
      <c r="Q148" s="5"/>
    </row>
    <row r="149" spans="1:17" x14ac:dyDescent="0.25">
      <c r="B149" s="40"/>
      <c r="C149" s="59" t="s">
        <v>81</v>
      </c>
      <c r="D149" s="90"/>
      <c r="E149" s="100"/>
      <c r="F149" s="100"/>
      <c r="I149" s="56"/>
      <c r="J149" s="56"/>
      <c r="K149" s="5"/>
      <c r="L149" s="72">
        <f>L147-I147</f>
        <v>0</v>
      </c>
      <c r="M149" s="5"/>
      <c r="N149" s="58"/>
      <c r="O149" s="5"/>
      <c r="P149" s="5"/>
      <c r="Q149" s="5"/>
    </row>
    <row r="150" spans="1:17" x14ac:dyDescent="0.25">
      <c r="B150" s="40"/>
      <c r="C150" s="59"/>
      <c r="D150" s="90"/>
      <c r="E150" s="100"/>
      <c r="F150" s="100"/>
      <c r="I150" s="56"/>
      <c r="J150" s="56"/>
      <c r="K150" s="5"/>
      <c r="L150" s="61">
        <f>L149/I147</f>
        <v>0</v>
      </c>
      <c r="M150" s="5"/>
      <c r="N150" s="58"/>
      <c r="O150" s="5"/>
      <c r="P150" s="5"/>
      <c r="Q150" s="5"/>
    </row>
    <row r="151" spans="1:17" x14ac:dyDescent="0.25">
      <c r="I151" s="6"/>
      <c r="J151" s="6"/>
      <c r="K151" s="5"/>
      <c r="L151" s="126"/>
      <c r="M151" s="5"/>
      <c r="N151" s="5"/>
      <c r="O151" s="5"/>
      <c r="P151" s="5"/>
      <c r="Q151" s="5"/>
    </row>
    <row r="152" spans="1:17" x14ac:dyDescent="0.25">
      <c r="A152" s="6" t="s">
        <v>115</v>
      </c>
      <c r="B152" s="39" t="s">
        <v>21</v>
      </c>
      <c r="K152" s="5"/>
      <c r="L152" s="5"/>
      <c r="M152" s="5"/>
      <c r="N152" s="5"/>
      <c r="O152" s="5"/>
      <c r="P152" s="5"/>
      <c r="Q152" s="5"/>
    </row>
    <row r="153" spans="1:17" x14ac:dyDescent="0.25">
      <c r="A153" s="6" t="s">
        <v>1</v>
      </c>
      <c r="K153" s="5"/>
      <c r="L153" s="5"/>
      <c r="M153" s="5"/>
      <c r="N153" s="5"/>
      <c r="O153" s="5"/>
      <c r="P153" s="5"/>
      <c r="Q153" s="5"/>
    </row>
    <row r="154" spans="1:17" x14ac:dyDescent="0.25">
      <c r="B154" s="40" t="s">
        <v>148</v>
      </c>
      <c r="K154" s="76"/>
      <c r="L154" s="58"/>
      <c r="M154" s="5"/>
      <c r="N154" s="5"/>
      <c r="O154" s="5"/>
      <c r="P154" s="5"/>
      <c r="Q154" s="5"/>
    </row>
    <row r="155" spans="1:17" x14ac:dyDescent="0.25">
      <c r="C155" s="17" t="s">
        <v>17</v>
      </c>
      <c r="D155" s="90"/>
      <c r="E155" s="24">
        <v>924</v>
      </c>
      <c r="F155" s="100"/>
      <c r="H155" s="45">
        <v>550</v>
      </c>
      <c r="I155" s="72">
        <f>+E155*H155</f>
        <v>508200</v>
      </c>
      <c r="J155" s="72"/>
      <c r="K155" s="45">
        <v>550</v>
      </c>
      <c r="L155" s="72">
        <f>E155*K155</f>
        <v>508200</v>
      </c>
      <c r="M155" s="5"/>
      <c r="N155" s="5"/>
      <c r="O155" s="5"/>
      <c r="P155" s="5"/>
      <c r="Q155" s="5"/>
    </row>
    <row r="156" spans="1:17" x14ac:dyDescent="0.25">
      <c r="C156" s="62" t="s">
        <v>117</v>
      </c>
      <c r="D156" s="90"/>
      <c r="F156" s="100"/>
      <c r="H156" s="45"/>
      <c r="I156" s="72"/>
      <c r="J156" s="72"/>
      <c r="K156" s="45"/>
      <c r="L156" s="72"/>
      <c r="M156" s="5"/>
      <c r="N156" s="5"/>
      <c r="O156" s="5"/>
      <c r="P156" s="5"/>
      <c r="Q156" s="5"/>
    </row>
    <row r="157" spans="1:17" x14ac:dyDescent="0.25">
      <c r="B157" s="40"/>
      <c r="C157" s="59" t="s">
        <v>132</v>
      </c>
      <c r="E157" s="53">
        <v>924</v>
      </c>
      <c r="H157" s="45">
        <v>0</v>
      </c>
      <c r="I157" s="56">
        <f>E157*H157</f>
        <v>0</v>
      </c>
      <c r="J157" s="56"/>
      <c r="K157" s="45">
        <f>ROUND(K87*365.25/12,0)</f>
        <v>750</v>
      </c>
      <c r="L157" s="84">
        <f>E157*K157</f>
        <v>693000</v>
      </c>
      <c r="M157" s="5"/>
      <c r="N157" s="106"/>
      <c r="O157" s="5"/>
      <c r="P157" s="5"/>
      <c r="Q157" s="5"/>
    </row>
    <row r="158" spans="1:17" x14ac:dyDescent="0.25">
      <c r="C158" s="90" t="s">
        <v>0</v>
      </c>
      <c r="F158" s="49">
        <v>13291726.750302574</v>
      </c>
      <c r="H158" s="47">
        <v>0.44400000000000001</v>
      </c>
      <c r="I158" s="84">
        <f>+F158*H158</f>
        <v>5901526.6771343425</v>
      </c>
      <c r="J158" s="84"/>
      <c r="K158" s="210">
        <v>3.7999999999999999E-2</v>
      </c>
      <c r="L158" s="84">
        <f>F158*K158</f>
        <v>505085.61651149776</v>
      </c>
      <c r="M158" s="5"/>
      <c r="N158" s="5"/>
      <c r="O158" s="5"/>
      <c r="P158" s="5"/>
      <c r="Q158" s="5"/>
    </row>
    <row r="159" spans="1:17" x14ac:dyDescent="0.25">
      <c r="C159" s="73" t="s">
        <v>13</v>
      </c>
      <c r="D159" s="90"/>
      <c r="F159" s="206">
        <v>961831.5</v>
      </c>
      <c r="H159" s="45"/>
      <c r="I159" s="74"/>
      <c r="J159" s="72"/>
      <c r="K159" s="45">
        <v>4.8899999999999997</v>
      </c>
      <c r="L159" s="74">
        <f>F159*K159</f>
        <v>4703356.0350000001</v>
      </c>
      <c r="M159" s="5"/>
      <c r="N159" s="5"/>
      <c r="O159" s="5"/>
      <c r="P159" s="5"/>
      <c r="Q159" s="5"/>
    </row>
    <row r="160" spans="1:17" x14ac:dyDescent="0.25">
      <c r="C160" s="40" t="s">
        <v>25</v>
      </c>
      <c r="D160" s="101"/>
      <c r="E160" s="102"/>
      <c r="F160" s="102"/>
      <c r="H160" s="67"/>
      <c r="I160" s="87">
        <f>SUM(I155:I159)</f>
        <v>6409726.6771343425</v>
      </c>
      <c r="J160" s="87"/>
      <c r="K160" s="5"/>
      <c r="L160" s="87">
        <f>SUM(L155:L159)</f>
        <v>6409641.6515114978</v>
      </c>
      <c r="M160" s="5"/>
      <c r="N160" s="5"/>
      <c r="O160" s="5"/>
      <c r="P160" s="5"/>
      <c r="Q160" s="5"/>
    </row>
    <row r="161" spans="1:17" x14ac:dyDescent="0.25">
      <c r="C161" s="40"/>
      <c r="D161" s="101"/>
      <c r="E161" s="102"/>
      <c r="F161" s="102"/>
      <c r="H161" s="67"/>
      <c r="I161" s="87"/>
      <c r="J161" s="87"/>
      <c r="K161" s="5"/>
      <c r="L161" s="87"/>
      <c r="M161" s="5"/>
      <c r="N161" s="5"/>
      <c r="O161" s="5"/>
      <c r="P161" s="5"/>
      <c r="Q161" s="5"/>
    </row>
    <row r="162" spans="1:17" x14ac:dyDescent="0.25">
      <c r="C162" s="40" t="s">
        <v>87</v>
      </c>
      <c r="D162" s="101"/>
      <c r="E162" s="102"/>
      <c r="F162" s="102"/>
      <c r="G162" s="41" t="s">
        <v>107</v>
      </c>
      <c r="H162" s="51">
        <v>1</v>
      </c>
      <c r="I162" s="52">
        <f>I160/H162</f>
        <v>6409726.6771343425</v>
      </c>
      <c r="J162" s="44"/>
      <c r="K162" s="103">
        <f>H162</f>
        <v>1</v>
      </c>
      <c r="L162" s="104">
        <f>L160/K162</f>
        <v>6409641.6515114978</v>
      </c>
      <c r="M162" s="5"/>
      <c r="N162" s="5"/>
      <c r="O162" s="5"/>
      <c r="P162" s="5"/>
      <c r="Q162" s="5"/>
    </row>
    <row r="163" spans="1:17" x14ac:dyDescent="0.25">
      <c r="C163" s="50"/>
      <c r="D163" s="101"/>
      <c r="E163" s="102"/>
      <c r="F163" s="102"/>
      <c r="H163" s="67"/>
      <c r="I163" s="44"/>
      <c r="J163" s="44"/>
      <c r="K163" s="5"/>
      <c r="L163" s="72"/>
      <c r="M163" s="5"/>
      <c r="N163" s="5"/>
      <c r="O163" s="5"/>
      <c r="P163" s="5"/>
      <c r="Q163" s="5"/>
    </row>
    <row r="164" spans="1:17" x14ac:dyDescent="0.25">
      <c r="C164" s="50" t="s">
        <v>38</v>
      </c>
      <c r="D164" s="101"/>
      <c r="E164" s="102"/>
      <c r="F164" s="102"/>
      <c r="H164" s="67"/>
      <c r="I164" s="44">
        <v>0</v>
      </c>
      <c r="J164" s="44"/>
      <c r="K164" s="5"/>
      <c r="L164" s="72">
        <f>I164</f>
        <v>0</v>
      </c>
      <c r="M164" s="5"/>
      <c r="N164" s="5"/>
      <c r="O164" s="5"/>
      <c r="P164" s="5"/>
      <c r="Q164" s="5"/>
    </row>
    <row r="165" spans="1:17" x14ac:dyDescent="0.25">
      <c r="C165" s="50" t="s">
        <v>39</v>
      </c>
      <c r="D165" s="101"/>
      <c r="E165" s="102"/>
      <c r="F165" s="102"/>
      <c r="H165" s="67"/>
      <c r="I165" s="44">
        <v>0</v>
      </c>
      <c r="J165" s="44"/>
      <c r="K165" s="5"/>
      <c r="L165" s="72">
        <f>I165</f>
        <v>0</v>
      </c>
      <c r="M165" s="5"/>
      <c r="N165" s="5"/>
      <c r="O165" s="5"/>
      <c r="P165" s="5"/>
      <c r="Q165" s="5"/>
    </row>
    <row r="166" spans="1:17" x14ac:dyDescent="0.25">
      <c r="C166" s="50" t="s">
        <v>35</v>
      </c>
      <c r="D166" s="101"/>
      <c r="E166" s="102"/>
      <c r="F166" s="102"/>
      <c r="H166" s="67"/>
      <c r="I166" s="44">
        <v>80951.092134637074</v>
      </c>
      <c r="J166" s="44"/>
      <c r="K166" s="5"/>
      <c r="L166" s="72">
        <f>I166</f>
        <v>80951.092134637074</v>
      </c>
      <c r="M166" s="5"/>
      <c r="N166" s="5"/>
      <c r="O166" s="5"/>
      <c r="P166" s="5"/>
      <c r="Q166" s="5"/>
    </row>
    <row r="167" spans="1:17" x14ac:dyDescent="0.25">
      <c r="B167" s="40"/>
      <c r="C167" s="105"/>
      <c r="I167" s="56"/>
      <c r="J167" s="56"/>
      <c r="K167" s="5"/>
      <c r="L167" s="56"/>
      <c r="M167" s="5"/>
      <c r="N167" s="106"/>
      <c r="O167" s="5"/>
      <c r="P167" s="5"/>
      <c r="Q167" s="5"/>
    </row>
    <row r="168" spans="1:17" x14ac:dyDescent="0.25">
      <c r="A168" s="6" t="s">
        <v>99</v>
      </c>
      <c r="B168" s="39" t="s">
        <v>82</v>
      </c>
      <c r="K168" s="5"/>
      <c r="L168" s="72"/>
      <c r="M168" s="5"/>
      <c r="N168" s="5"/>
      <c r="O168" s="5"/>
      <c r="P168" s="5"/>
      <c r="Q168" s="5"/>
    </row>
    <row r="169" spans="1:17" ht="15" customHeight="1" x14ac:dyDescent="0.25">
      <c r="B169" s="90"/>
      <c r="C169" s="17" t="s">
        <v>67</v>
      </c>
      <c r="E169" s="49">
        <v>828</v>
      </c>
      <c r="H169" s="45">
        <v>75</v>
      </c>
      <c r="I169" s="72">
        <f>+E169*H169</f>
        <v>62100</v>
      </c>
      <c r="J169" s="72"/>
      <c r="K169" s="45">
        <v>75</v>
      </c>
      <c r="L169" s="72">
        <f>E169*K169</f>
        <v>62100</v>
      </c>
      <c r="M169" s="5"/>
      <c r="N169" s="5"/>
      <c r="O169" s="5"/>
      <c r="P169" s="5"/>
      <c r="Q169" s="5"/>
    </row>
    <row r="170" spans="1:17" ht="15" customHeight="1" x14ac:dyDescent="0.25">
      <c r="B170" s="90"/>
      <c r="E170" s="49"/>
      <c r="H170" s="45"/>
      <c r="I170" s="72"/>
      <c r="J170" s="72"/>
      <c r="K170" s="45"/>
      <c r="L170" s="72"/>
      <c r="M170" s="5"/>
      <c r="N170" s="5"/>
      <c r="O170" s="5"/>
      <c r="P170" s="5"/>
      <c r="Q170" s="5"/>
    </row>
    <row r="171" spans="1:17" ht="16.5" thickBot="1" x14ac:dyDescent="0.3">
      <c r="B171" s="40"/>
      <c r="C171" s="105" t="s">
        <v>110</v>
      </c>
      <c r="I171" s="55">
        <f>I162+SUM(I164:I166)+I169</f>
        <v>6552777.7692689793</v>
      </c>
      <c r="J171" s="56"/>
      <c r="K171" s="5"/>
      <c r="L171" s="55">
        <f>L162+SUM(L164:L166)+L169</f>
        <v>6552692.7436461346</v>
      </c>
      <c r="M171" s="5"/>
      <c r="N171" s="106"/>
      <c r="O171" s="5"/>
      <c r="P171" s="5"/>
      <c r="Q171" s="5"/>
    </row>
    <row r="172" spans="1:17" ht="16.5" thickTop="1" x14ac:dyDescent="0.25">
      <c r="B172" s="40"/>
      <c r="C172" s="59" t="s">
        <v>81</v>
      </c>
      <c r="I172" s="56"/>
      <c r="J172" s="56"/>
      <c r="K172" s="5"/>
      <c r="L172" s="97">
        <f>L171-I171</f>
        <v>-85.025622844696045</v>
      </c>
      <c r="M172" s="5"/>
      <c r="N172" s="106"/>
      <c r="O172" s="5"/>
      <c r="P172" s="5"/>
      <c r="Q172" s="5"/>
    </row>
    <row r="173" spans="1:17" x14ac:dyDescent="0.25">
      <c r="B173" s="40"/>
      <c r="I173" s="56"/>
      <c r="J173" s="56"/>
      <c r="K173" s="5"/>
      <c r="L173" s="61">
        <f>L172/I171</f>
        <v>-1.2975508378057113E-5</v>
      </c>
      <c r="M173" s="5"/>
      <c r="N173" s="106"/>
      <c r="O173" s="5"/>
      <c r="P173" s="5"/>
      <c r="Q173" s="5"/>
    </row>
    <row r="175" spans="1:17" x14ac:dyDescent="0.25">
      <c r="K175" s="5"/>
      <c r="L175" s="126" t="s">
        <v>165</v>
      </c>
      <c r="M175" s="5"/>
      <c r="N175" s="5"/>
      <c r="O175" s="5"/>
      <c r="P175" s="5"/>
      <c r="Q175" s="5"/>
    </row>
    <row r="176" spans="1:17" x14ac:dyDescent="0.25">
      <c r="B176" s="39" t="s">
        <v>23</v>
      </c>
      <c r="K176" s="5"/>
      <c r="L176" s="5"/>
      <c r="M176" s="5"/>
      <c r="N176" s="5"/>
      <c r="O176" s="5"/>
      <c r="P176" s="5"/>
      <c r="Q176" s="5"/>
    </row>
    <row r="177" spans="1:17" x14ac:dyDescent="0.25">
      <c r="B177" s="42"/>
      <c r="K177" s="5"/>
      <c r="L177" s="5"/>
      <c r="M177" s="5"/>
      <c r="N177" s="5"/>
      <c r="O177" s="5"/>
      <c r="P177" s="5"/>
      <c r="Q177" s="5"/>
    </row>
    <row r="178" spans="1:17" x14ac:dyDescent="0.25">
      <c r="B178" s="99" t="s">
        <v>41</v>
      </c>
      <c r="K178" s="5"/>
      <c r="L178" s="5"/>
      <c r="M178" s="5"/>
      <c r="N178" s="5"/>
      <c r="O178" s="5"/>
      <c r="P178" s="5"/>
      <c r="Q178" s="5"/>
    </row>
    <row r="179" spans="1:17" x14ac:dyDescent="0.25">
      <c r="B179" s="99"/>
      <c r="C179" s="62" t="s">
        <v>117</v>
      </c>
      <c r="K179" s="5"/>
      <c r="L179" s="5"/>
      <c r="M179" s="5"/>
      <c r="N179" s="5"/>
      <c r="O179" s="5"/>
      <c r="P179" s="5"/>
      <c r="Q179" s="5"/>
    </row>
    <row r="180" spans="1:17" x14ac:dyDescent="0.25">
      <c r="A180" s="96" t="s">
        <v>89</v>
      </c>
      <c r="B180" s="42"/>
      <c r="C180" s="6" t="s">
        <v>132</v>
      </c>
      <c r="E180" s="24">
        <v>12</v>
      </c>
      <c r="H180" s="45">
        <v>750</v>
      </c>
      <c r="I180" s="72">
        <f>+E180*H180</f>
        <v>9000</v>
      </c>
      <c r="J180" s="72"/>
      <c r="K180" s="45">
        <v>750</v>
      </c>
      <c r="L180" s="72">
        <f>E180*K180</f>
        <v>9000</v>
      </c>
      <c r="M180" s="5"/>
      <c r="N180" s="5"/>
      <c r="O180" s="5"/>
      <c r="P180" s="5"/>
      <c r="Q180" s="5"/>
    </row>
    <row r="181" spans="1:17" x14ac:dyDescent="0.25">
      <c r="B181" s="42"/>
      <c r="C181" s="17" t="s">
        <v>0</v>
      </c>
      <c r="F181" s="49">
        <v>404400.4</v>
      </c>
      <c r="H181" s="67">
        <v>0.29920000000000002</v>
      </c>
      <c r="I181" s="84">
        <f>+F181*H181</f>
        <v>120996.59968000001</v>
      </c>
      <c r="J181" s="84"/>
      <c r="K181" s="67">
        <v>0.29920000000000002</v>
      </c>
      <c r="L181" s="72">
        <f>F181*K181</f>
        <v>120996.59968000001</v>
      </c>
      <c r="M181" s="5"/>
      <c r="N181" s="5"/>
      <c r="O181" s="5"/>
      <c r="P181" s="5"/>
      <c r="Q181" s="5"/>
    </row>
    <row r="182" spans="1:17" x14ac:dyDescent="0.25">
      <c r="B182" s="42"/>
      <c r="C182" s="107" t="s">
        <v>13</v>
      </c>
      <c r="F182" s="49">
        <v>198720</v>
      </c>
      <c r="H182" s="47">
        <v>10.8978</v>
      </c>
      <c r="I182" s="74">
        <f>F182*H182</f>
        <v>2165610.8160000001</v>
      </c>
      <c r="J182" s="84"/>
      <c r="K182" s="47">
        <v>10.8978</v>
      </c>
      <c r="L182" s="74">
        <f>F182*K182</f>
        <v>2165610.8160000001</v>
      </c>
      <c r="M182" s="5"/>
      <c r="N182" s="5"/>
      <c r="O182" s="5"/>
      <c r="P182" s="5"/>
      <c r="Q182" s="5"/>
    </row>
    <row r="183" spans="1:17" x14ac:dyDescent="0.25">
      <c r="B183" s="42"/>
      <c r="C183" s="99" t="s">
        <v>25</v>
      </c>
      <c r="F183" s="108"/>
      <c r="H183" s="47"/>
      <c r="I183" s="109">
        <f>SUM(I180:I182)</f>
        <v>2295607.4156800001</v>
      </c>
      <c r="J183" s="109"/>
      <c r="K183" s="5"/>
      <c r="L183" s="109">
        <f>SUM(L180:L182)</f>
        <v>2295607.4156800001</v>
      </c>
      <c r="M183" s="5"/>
      <c r="N183" s="5"/>
      <c r="O183" s="5"/>
      <c r="P183" s="5"/>
      <c r="Q183" s="5"/>
    </row>
    <row r="184" spans="1:17" x14ac:dyDescent="0.25">
      <c r="B184" s="42"/>
      <c r="C184" s="40"/>
      <c r="F184" s="108"/>
      <c r="H184" s="47"/>
      <c r="I184" s="109"/>
      <c r="J184" s="109"/>
      <c r="K184" s="5"/>
      <c r="L184" s="109"/>
      <c r="M184" s="5"/>
      <c r="N184" s="5"/>
      <c r="O184" s="5"/>
      <c r="P184" s="5"/>
      <c r="Q184" s="5"/>
    </row>
    <row r="185" spans="1:17" x14ac:dyDescent="0.25">
      <c r="B185" s="42"/>
      <c r="C185" s="40" t="s">
        <v>87</v>
      </c>
      <c r="F185" s="108"/>
      <c r="G185" s="41" t="s">
        <v>107</v>
      </c>
      <c r="H185" s="51">
        <v>1</v>
      </c>
      <c r="I185" s="109">
        <f>I183/H185</f>
        <v>2295607.4156800001</v>
      </c>
      <c r="J185" s="109"/>
      <c r="K185" s="75">
        <f>H185</f>
        <v>1</v>
      </c>
      <c r="L185" s="109">
        <f>L183/K185</f>
        <v>2295607.4156800001</v>
      </c>
      <c r="M185" s="5"/>
      <c r="N185" s="5"/>
      <c r="O185" s="5"/>
      <c r="P185" s="5"/>
      <c r="Q185" s="5"/>
    </row>
    <row r="186" spans="1:17" x14ac:dyDescent="0.25">
      <c r="B186" s="42"/>
      <c r="F186" s="108"/>
      <c r="H186" s="110"/>
      <c r="I186" s="84"/>
      <c r="J186" s="84"/>
      <c r="K186" s="5"/>
      <c r="L186" s="72"/>
      <c r="M186" s="5"/>
      <c r="N186" s="5"/>
      <c r="O186" s="5"/>
      <c r="P186" s="5"/>
      <c r="Q186" s="5"/>
    </row>
    <row r="187" spans="1:17" x14ac:dyDescent="0.25">
      <c r="B187" s="42"/>
      <c r="C187" s="50" t="s">
        <v>38</v>
      </c>
      <c r="F187" s="108"/>
      <c r="H187" s="110"/>
      <c r="I187" s="84">
        <v>1470692.3614855495</v>
      </c>
      <c r="J187" s="84"/>
      <c r="K187" s="5"/>
      <c r="L187" s="72">
        <f>I187</f>
        <v>1470692.3614855495</v>
      </c>
      <c r="M187" s="5"/>
      <c r="N187" s="5"/>
      <c r="O187" s="5"/>
      <c r="P187" s="5"/>
      <c r="Q187" s="5"/>
    </row>
    <row r="188" spans="1:17" x14ac:dyDescent="0.25">
      <c r="B188" s="42"/>
      <c r="C188" s="50" t="s">
        <v>39</v>
      </c>
      <c r="F188" s="108"/>
      <c r="H188" s="110"/>
      <c r="I188" s="84">
        <v>0</v>
      </c>
      <c r="J188" s="84"/>
      <c r="K188" s="5"/>
      <c r="L188" s="72">
        <f t="shared" ref="L188:L189" si="3">I188</f>
        <v>0</v>
      </c>
      <c r="M188" s="5"/>
      <c r="N188" s="5"/>
      <c r="O188" s="5"/>
      <c r="P188" s="5"/>
      <c r="Q188" s="5"/>
    </row>
    <row r="189" spans="1:17" x14ac:dyDescent="0.25">
      <c r="B189" s="42"/>
      <c r="C189" s="50" t="s">
        <v>35</v>
      </c>
      <c r="F189" s="108"/>
      <c r="H189" s="110"/>
      <c r="I189" s="84">
        <v>0</v>
      </c>
      <c r="J189" s="84"/>
      <c r="K189" s="5"/>
      <c r="L189" s="72">
        <f t="shared" si="3"/>
        <v>0</v>
      </c>
      <c r="M189" s="5"/>
      <c r="N189" s="5"/>
      <c r="O189" s="5"/>
      <c r="P189" s="5"/>
      <c r="Q189" s="5"/>
    </row>
    <row r="190" spans="1:17" x14ac:dyDescent="0.25">
      <c r="B190" s="42"/>
      <c r="C190" s="50"/>
      <c r="F190" s="108"/>
      <c r="H190" s="110"/>
      <c r="I190" s="84"/>
      <c r="J190" s="84"/>
      <c r="K190" s="5"/>
      <c r="L190" s="72"/>
      <c r="M190" s="5"/>
      <c r="N190" s="5"/>
      <c r="O190" s="5"/>
      <c r="P190" s="5"/>
      <c r="Q190" s="5"/>
    </row>
    <row r="191" spans="1:17" ht="16.5" thickBot="1" x14ac:dyDescent="0.3">
      <c r="B191" s="42"/>
      <c r="C191" s="111" t="s">
        <v>40</v>
      </c>
      <c r="F191" s="108"/>
      <c r="H191" s="110"/>
      <c r="I191" s="112">
        <f>I185+SUM(I187:I189)</f>
        <v>3766299.7771655498</v>
      </c>
      <c r="J191" s="109"/>
      <c r="K191" s="5"/>
      <c r="L191" s="112">
        <f>L185+SUM(L187:L189)</f>
        <v>3766299.7771655498</v>
      </c>
      <c r="M191" s="113"/>
      <c r="N191" s="76"/>
      <c r="O191" s="5"/>
      <c r="P191" s="5"/>
      <c r="Q191" s="5"/>
    </row>
    <row r="192" spans="1:17" ht="16.5" thickTop="1" x14ac:dyDescent="0.25">
      <c r="B192" s="42"/>
      <c r="C192" s="111"/>
      <c r="F192" s="108"/>
      <c r="H192" s="110"/>
      <c r="I192" s="109"/>
      <c r="J192" s="109"/>
      <c r="K192" s="5"/>
      <c r="L192" s="72"/>
      <c r="M192" s="113"/>
      <c r="N192" s="76"/>
      <c r="O192" s="5"/>
      <c r="P192" s="5"/>
      <c r="Q192" s="5"/>
    </row>
    <row r="193" spans="1:17" x14ac:dyDescent="0.25">
      <c r="B193" s="42"/>
      <c r="C193" s="50" t="s">
        <v>81</v>
      </c>
      <c r="F193" s="108"/>
      <c r="H193" s="110"/>
      <c r="I193" s="109"/>
      <c r="J193" s="109"/>
      <c r="K193" s="5"/>
      <c r="L193" s="72">
        <f>L191-I191</f>
        <v>0</v>
      </c>
      <c r="M193" s="113"/>
      <c r="N193" s="76"/>
      <c r="O193" s="5"/>
      <c r="P193" s="5"/>
      <c r="Q193" s="5"/>
    </row>
    <row r="194" spans="1:17" x14ac:dyDescent="0.25">
      <c r="B194" s="42"/>
      <c r="C194" s="111"/>
      <c r="F194" s="108"/>
      <c r="H194" s="110"/>
      <c r="I194" s="109"/>
      <c r="J194" s="109"/>
      <c r="K194" s="5"/>
      <c r="L194" s="114">
        <f>L193/I191</f>
        <v>0</v>
      </c>
      <c r="M194" s="113"/>
      <c r="N194" s="76"/>
      <c r="O194" s="5"/>
      <c r="P194" s="5"/>
      <c r="Q194" s="5"/>
    </row>
    <row r="195" spans="1:17" x14ac:dyDescent="0.25">
      <c r="B195" s="42"/>
      <c r="C195" s="50"/>
      <c r="F195" s="108"/>
      <c r="H195" s="110"/>
      <c r="I195" s="84"/>
      <c r="J195" s="84"/>
      <c r="K195" s="5"/>
      <c r="L195" s="126"/>
      <c r="M195" s="5"/>
      <c r="N195" s="5"/>
      <c r="O195" s="5"/>
      <c r="P195" s="5"/>
      <c r="Q195" s="5"/>
    </row>
    <row r="196" spans="1:17" x14ac:dyDescent="0.25">
      <c r="A196" s="6" t="s">
        <v>58</v>
      </c>
      <c r="B196" s="39" t="s">
        <v>66</v>
      </c>
      <c r="K196" s="5"/>
      <c r="L196" s="5"/>
      <c r="M196" s="5"/>
      <c r="N196" s="5"/>
      <c r="O196" s="5"/>
      <c r="P196" s="5"/>
      <c r="Q196" s="5"/>
    </row>
    <row r="197" spans="1:17" x14ac:dyDescent="0.25">
      <c r="K197" s="5"/>
      <c r="L197" s="5"/>
      <c r="M197" s="5"/>
      <c r="N197" s="5"/>
      <c r="O197" s="5"/>
      <c r="P197" s="5"/>
      <c r="Q197" s="5"/>
    </row>
    <row r="198" spans="1:17" x14ac:dyDescent="0.25">
      <c r="B198" s="36" t="s">
        <v>149</v>
      </c>
      <c r="C198" s="115"/>
      <c r="K198" s="5"/>
      <c r="L198" s="5"/>
      <c r="M198" s="5"/>
      <c r="N198" s="5"/>
      <c r="O198" s="5"/>
      <c r="P198" s="5"/>
      <c r="Q198" s="5"/>
    </row>
    <row r="199" spans="1:17" x14ac:dyDescent="0.25">
      <c r="B199" s="40"/>
      <c r="C199" s="62" t="s">
        <v>117</v>
      </c>
      <c r="E199" s="6"/>
      <c r="H199" s="6"/>
      <c r="I199" s="6"/>
      <c r="J199" s="6"/>
      <c r="K199" s="6"/>
      <c r="M199" s="5"/>
      <c r="N199" s="5"/>
      <c r="O199" s="5"/>
      <c r="P199" s="5"/>
      <c r="Q199" s="5"/>
    </row>
    <row r="200" spans="1:17" x14ac:dyDescent="0.25">
      <c r="B200" s="40"/>
      <c r="C200" s="59" t="s">
        <v>134</v>
      </c>
      <c r="E200" s="49">
        <v>24</v>
      </c>
      <c r="H200" s="45">
        <v>165</v>
      </c>
      <c r="I200" s="72">
        <f>+E200*H200</f>
        <v>3960</v>
      </c>
      <c r="J200" s="72"/>
      <c r="K200" s="45">
        <v>165</v>
      </c>
      <c r="L200" s="72">
        <f>E200*K200</f>
        <v>3960</v>
      </c>
      <c r="M200" s="5"/>
      <c r="N200" s="5"/>
      <c r="O200" s="5"/>
      <c r="P200" s="5"/>
      <c r="Q200" s="5"/>
    </row>
    <row r="201" spans="1:17" x14ac:dyDescent="0.25">
      <c r="B201" s="40"/>
      <c r="C201" s="59" t="s">
        <v>135</v>
      </c>
      <c r="E201" s="49">
        <v>0</v>
      </c>
      <c r="H201" s="45">
        <v>750</v>
      </c>
      <c r="I201" s="72">
        <f>E201*H201</f>
        <v>0</v>
      </c>
      <c r="J201" s="72"/>
      <c r="K201" s="45">
        <v>750</v>
      </c>
      <c r="L201" s="72">
        <f>E201*K201</f>
        <v>0</v>
      </c>
      <c r="M201" s="5"/>
      <c r="N201" s="5"/>
      <c r="O201" s="5"/>
      <c r="P201" s="5"/>
      <c r="Q201" s="5"/>
    </row>
    <row r="202" spans="1:17" x14ac:dyDescent="0.25">
      <c r="C202" s="17" t="s">
        <v>0</v>
      </c>
      <c r="F202" s="49">
        <v>8.3905771403462044</v>
      </c>
      <c r="H202" s="47">
        <v>0.29919999999999997</v>
      </c>
      <c r="I202" s="72">
        <f>ROUND(+F202*H202,2)</f>
        <v>2.5099999999999998</v>
      </c>
      <c r="J202" s="72"/>
      <c r="K202" s="47">
        <v>0.29920000000000002</v>
      </c>
      <c r="L202" s="72">
        <f>F202*K202</f>
        <v>2.5104606803915845</v>
      </c>
      <c r="M202" s="5"/>
      <c r="N202" s="5"/>
      <c r="O202" s="5"/>
      <c r="P202" s="5"/>
      <c r="Q202" s="5"/>
    </row>
    <row r="203" spans="1:17" x14ac:dyDescent="0.25">
      <c r="C203" s="73" t="s">
        <v>13</v>
      </c>
      <c r="F203" s="49">
        <v>1073.2257886912953</v>
      </c>
      <c r="H203" s="47">
        <v>10.8978</v>
      </c>
      <c r="I203" s="74">
        <f>+F203*H203</f>
        <v>11695.799999999997</v>
      </c>
      <c r="J203" s="72"/>
      <c r="K203" s="47">
        <v>10.8978</v>
      </c>
      <c r="L203" s="74">
        <f>F203*K203</f>
        <v>11695.799999999997</v>
      </c>
      <c r="M203" s="5"/>
      <c r="N203" s="5"/>
      <c r="O203" s="5"/>
      <c r="P203" s="5"/>
      <c r="Q203" s="5"/>
    </row>
    <row r="204" spans="1:17" x14ac:dyDescent="0.25">
      <c r="C204" s="99" t="s">
        <v>25</v>
      </c>
      <c r="F204" s="102"/>
      <c r="H204" s="47"/>
      <c r="I204" s="104">
        <f>SUM(I200:I203)</f>
        <v>15658.309999999998</v>
      </c>
      <c r="J204" s="72"/>
      <c r="K204" s="47"/>
      <c r="L204" s="104">
        <f>SUM(L200:L203)</f>
        <v>15658.31046068039</v>
      </c>
      <c r="M204" s="5"/>
      <c r="N204" s="5"/>
      <c r="O204" s="5"/>
      <c r="P204" s="5"/>
      <c r="Q204" s="5"/>
    </row>
    <row r="205" spans="1:17" x14ac:dyDescent="0.25">
      <c r="C205" s="40"/>
      <c r="F205" s="102"/>
      <c r="H205" s="47"/>
      <c r="I205" s="72"/>
      <c r="J205" s="72"/>
      <c r="K205" s="47"/>
      <c r="L205" s="72"/>
      <c r="M205" s="5"/>
      <c r="N205" s="5"/>
      <c r="O205" s="5"/>
      <c r="P205" s="5"/>
      <c r="Q205" s="5"/>
    </row>
    <row r="206" spans="1:17" x14ac:dyDescent="0.25">
      <c r="C206" s="40" t="s">
        <v>87</v>
      </c>
      <c r="F206" s="102"/>
      <c r="G206" s="41" t="s">
        <v>107</v>
      </c>
      <c r="H206" s="51">
        <v>1</v>
      </c>
      <c r="I206" s="104">
        <f>I204/H206</f>
        <v>15658.309999999998</v>
      </c>
      <c r="J206" s="72"/>
      <c r="K206" s="103">
        <f>H206</f>
        <v>1</v>
      </c>
      <c r="L206" s="104">
        <f>L204/K206</f>
        <v>15658.31046068039</v>
      </c>
      <c r="M206" s="5"/>
      <c r="N206" s="5"/>
      <c r="O206" s="5"/>
      <c r="P206" s="5"/>
      <c r="Q206" s="5"/>
    </row>
    <row r="207" spans="1:17" x14ac:dyDescent="0.25">
      <c r="C207" s="40"/>
      <c r="F207" s="102"/>
      <c r="G207" s="41"/>
      <c r="H207" s="51"/>
      <c r="I207" s="104"/>
      <c r="J207" s="72"/>
      <c r="K207" s="103"/>
      <c r="L207" s="104"/>
      <c r="M207" s="5"/>
      <c r="N207" s="5"/>
      <c r="O207" s="5"/>
      <c r="P207" s="5"/>
      <c r="Q207" s="5"/>
    </row>
    <row r="208" spans="1:17" x14ac:dyDescent="0.25">
      <c r="A208" s="6" t="s">
        <v>113</v>
      </c>
      <c r="B208" s="36" t="s">
        <v>150</v>
      </c>
      <c r="F208" s="102"/>
      <c r="G208" s="41"/>
      <c r="H208" s="51"/>
      <c r="I208" s="104"/>
      <c r="J208" s="72"/>
      <c r="K208" s="103"/>
      <c r="L208" s="104"/>
      <c r="M208" s="5"/>
      <c r="N208" s="5"/>
      <c r="O208" s="5"/>
      <c r="P208" s="5"/>
      <c r="Q208" s="5"/>
    </row>
    <row r="209" spans="1:17" x14ac:dyDescent="0.25">
      <c r="B209" s="36"/>
      <c r="C209" s="17" t="s">
        <v>26</v>
      </c>
      <c r="E209" s="49">
        <v>0</v>
      </c>
      <c r="F209" s="102"/>
      <c r="G209" s="41"/>
      <c r="H209" s="116">
        <v>550</v>
      </c>
      <c r="I209" s="104">
        <f>E209*H209</f>
        <v>0</v>
      </c>
      <c r="J209" s="72"/>
      <c r="K209" s="117">
        <v>550</v>
      </c>
      <c r="L209" s="104">
        <f>E209*K209</f>
        <v>0</v>
      </c>
      <c r="M209" s="5"/>
      <c r="N209" s="5"/>
      <c r="O209" s="5"/>
      <c r="P209" s="5"/>
      <c r="Q209" s="5"/>
    </row>
    <row r="210" spans="1:17" x14ac:dyDescent="0.25">
      <c r="B210" s="36"/>
      <c r="C210" s="62" t="s">
        <v>117</v>
      </c>
      <c r="F210" s="102"/>
      <c r="G210" s="41"/>
      <c r="H210" s="51"/>
      <c r="I210" s="104"/>
      <c r="J210" s="72"/>
      <c r="K210" s="103"/>
      <c r="L210" s="104"/>
      <c r="M210" s="5"/>
      <c r="N210" s="5"/>
      <c r="O210" s="5"/>
      <c r="P210" s="5"/>
      <c r="Q210" s="5"/>
    </row>
    <row r="211" spans="1:17" x14ac:dyDescent="0.25">
      <c r="B211" s="36"/>
      <c r="C211" s="59" t="s">
        <v>134</v>
      </c>
      <c r="E211" s="49">
        <v>0</v>
      </c>
      <c r="F211" s="102"/>
      <c r="G211" s="41"/>
      <c r="H211" s="116">
        <v>165</v>
      </c>
      <c r="I211" s="72">
        <f>E211*H211</f>
        <v>0</v>
      </c>
      <c r="J211" s="72"/>
      <c r="K211" s="117">
        <f>K200</f>
        <v>165</v>
      </c>
      <c r="L211" s="72">
        <f>E211*K211</f>
        <v>0</v>
      </c>
      <c r="M211" s="5"/>
      <c r="N211" s="5"/>
      <c r="O211" s="5"/>
      <c r="P211" s="5"/>
      <c r="Q211" s="5"/>
    </row>
    <row r="212" spans="1:17" x14ac:dyDescent="0.25">
      <c r="B212" s="36"/>
      <c r="C212" s="59" t="s">
        <v>135</v>
      </c>
      <c r="E212" s="49">
        <v>0</v>
      </c>
      <c r="F212" s="102"/>
      <c r="G212" s="41"/>
      <c r="H212" s="116">
        <v>750</v>
      </c>
      <c r="I212" s="72">
        <f>E212*H212</f>
        <v>0</v>
      </c>
      <c r="J212" s="72"/>
      <c r="K212" s="117">
        <f>K201</f>
        <v>750</v>
      </c>
      <c r="L212" s="72">
        <f>E212*K212</f>
        <v>0</v>
      </c>
      <c r="M212" s="5"/>
      <c r="N212" s="5"/>
      <c r="O212" s="5"/>
      <c r="P212" s="5"/>
      <c r="Q212" s="5"/>
    </row>
    <row r="213" spans="1:17" x14ac:dyDescent="0.25">
      <c r="B213" s="36"/>
      <c r="C213" s="17" t="s">
        <v>0</v>
      </c>
      <c r="F213" s="49">
        <v>0</v>
      </c>
      <c r="G213" s="41"/>
      <c r="H213" s="118">
        <v>0.29919999999999997</v>
      </c>
      <c r="I213" s="72">
        <f>F213*H213</f>
        <v>0</v>
      </c>
      <c r="J213" s="72"/>
      <c r="K213" s="201">
        <f>K202</f>
        <v>0.29920000000000002</v>
      </c>
      <c r="L213" s="72">
        <f>F213*K213</f>
        <v>0</v>
      </c>
      <c r="M213" s="5"/>
      <c r="N213" s="5"/>
      <c r="O213" s="5"/>
      <c r="P213" s="5"/>
      <c r="Q213" s="5"/>
    </row>
    <row r="214" spans="1:17" x14ac:dyDescent="0.25">
      <c r="B214" s="36"/>
      <c r="C214" s="73" t="s">
        <v>13</v>
      </c>
      <c r="F214" s="49">
        <v>0</v>
      </c>
      <c r="G214" s="41"/>
      <c r="H214" s="118">
        <v>10.8978</v>
      </c>
      <c r="I214" s="74">
        <f>F214*H214</f>
        <v>0</v>
      </c>
      <c r="J214" s="72"/>
      <c r="K214" s="201">
        <f>K203</f>
        <v>10.8978</v>
      </c>
      <c r="L214" s="74">
        <f>F214*K214</f>
        <v>0</v>
      </c>
      <c r="M214" s="5"/>
      <c r="N214" s="5"/>
      <c r="O214" s="5"/>
      <c r="P214" s="5"/>
      <c r="Q214" s="5"/>
    </row>
    <row r="215" spans="1:17" x14ac:dyDescent="0.25">
      <c r="B215" s="36"/>
      <c r="C215" s="40" t="s">
        <v>25</v>
      </c>
      <c r="F215" s="102"/>
      <c r="G215" s="41"/>
      <c r="H215" s="51"/>
      <c r="I215" s="104">
        <f>SUM(I209:I214)</f>
        <v>0</v>
      </c>
      <c r="J215" s="72"/>
      <c r="K215" s="103"/>
      <c r="L215" s="104">
        <f>SUM(L209:L214)</f>
        <v>0</v>
      </c>
      <c r="M215" s="5"/>
      <c r="N215" s="5"/>
      <c r="O215" s="5"/>
      <c r="P215" s="5"/>
      <c r="Q215" s="5"/>
    </row>
    <row r="216" spans="1:17" x14ac:dyDescent="0.25">
      <c r="B216" s="36"/>
      <c r="F216" s="102"/>
      <c r="G216" s="41"/>
      <c r="H216" s="51"/>
      <c r="I216" s="104"/>
      <c r="J216" s="72"/>
      <c r="K216" s="103"/>
      <c r="L216" s="72"/>
      <c r="M216" s="5"/>
      <c r="N216" s="5"/>
      <c r="O216" s="5"/>
      <c r="P216" s="5"/>
      <c r="Q216" s="5"/>
    </row>
    <row r="217" spans="1:17" x14ac:dyDescent="0.25">
      <c r="B217" s="36"/>
      <c r="C217" s="40" t="s">
        <v>87</v>
      </c>
      <c r="F217" s="102"/>
      <c r="G217" s="41" t="s">
        <v>107</v>
      </c>
      <c r="H217" s="51">
        <v>0</v>
      </c>
      <c r="I217" s="104">
        <f>IF(H217=0,0,I215/H217)</f>
        <v>0</v>
      </c>
      <c r="J217" s="72"/>
      <c r="K217" s="103"/>
      <c r="L217" s="104">
        <f>IF(K217=0,0,L215/K217)</f>
        <v>0</v>
      </c>
      <c r="M217" s="5"/>
      <c r="N217" s="5"/>
      <c r="O217" s="5"/>
      <c r="P217" s="5"/>
      <c r="Q217" s="5"/>
    </row>
    <row r="218" spans="1:17" x14ac:dyDescent="0.25">
      <c r="F218" s="102"/>
      <c r="H218" s="47"/>
      <c r="I218" s="72"/>
      <c r="J218" s="72"/>
      <c r="K218" s="47"/>
      <c r="L218" s="72"/>
      <c r="M218" s="5"/>
      <c r="N218" s="5"/>
      <c r="O218" s="5"/>
      <c r="P218" s="5"/>
      <c r="Q218" s="5"/>
    </row>
    <row r="219" spans="1:17" x14ac:dyDescent="0.25">
      <c r="C219" s="17" t="s">
        <v>38</v>
      </c>
      <c r="F219" s="108"/>
      <c r="H219" s="6"/>
      <c r="I219" s="84">
        <v>29.948234424056107</v>
      </c>
      <c r="J219" s="45"/>
      <c r="K219" s="5"/>
      <c r="L219" s="84">
        <f>I219</f>
        <v>29.948234424056107</v>
      </c>
      <c r="M219" s="5"/>
      <c r="N219" s="5"/>
      <c r="O219" s="5"/>
      <c r="P219" s="5"/>
      <c r="Q219" s="5"/>
    </row>
    <row r="220" spans="1:17" x14ac:dyDescent="0.25">
      <c r="C220" s="17" t="s">
        <v>39</v>
      </c>
      <c r="H220" s="6"/>
      <c r="I220" s="84">
        <v>0</v>
      </c>
      <c r="J220" s="45"/>
      <c r="K220" s="5"/>
      <c r="L220" s="84">
        <f>I220</f>
        <v>0</v>
      </c>
      <c r="M220" s="5"/>
      <c r="N220" s="5"/>
      <c r="O220" s="5"/>
      <c r="P220" s="5"/>
      <c r="Q220" s="5"/>
    </row>
    <row r="221" spans="1:17" x14ac:dyDescent="0.25">
      <c r="C221" s="17" t="s">
        <v>35</v>
      </c>
      <c r="H221" s="6"/>
      <c r="I221" s="84">
        <v>835.5833203558268</v>
      </c>
      <c r="J221" s="45"/>
      <c r="K221" s="5"/>
      <c r="L221" s="84">
        <f>I221</f>
        <v>835.5833203558268</v>
      </c>
      <c r="M221" s="5"/>
      <c r="N221" s="5"/>
      <c r="O221" s="5"/>
      <c r="P221" s="5"/>
      <c r="Q221" s="5"/>
    </row>
    <row r="222" spans="1:17" x14ac:dyDescent="0.25">
      <c r="H222" s="6"/>
      <c r="I222" s="84"/>
      <c r="J222" s="45"/>
      <c r="K222" s="5"/>
      <c r="L222" s="84"/>
      <c r="M222" s="5"/>
      <c r="N222" s="5"/>
      <c r="O222" s="5"/>
      <c r="P222" s="5"/>
      <c r="Q222" s="5"/>
    </row>
    <row r="223" spans="1:17" x14ac:dyDescent="0.25">
      <c r="A223" s="6" t="s">
        <v>119</v>
      </c>
      <c r="B223" s="39" t="s">
        <v>83</v>
      </c>
      <c r="I223" s="56"/>
      <c r="J223" s="56"/>
      <c r="K223" s="5"/>
      <c r="L223" s="56"/>
      <c r="M223" s="5"/>
      <c r="N223" s="5"/>
      <c r="O223" s="5"/>
      <c r="P223" s="5"/>
      <c r="Q223" s="5"/>
    </row>
    <row r="224" spans="1:17" x14ac:dyDescent="0.25">
      <c r="B224" s="40"/>
      <c r="C224" s="17" t="s">
        <v>67</v>
      </c>
      <c r="E224" s="49">
        <v>0</v>
      </c>
      <c r="H224" s="45">
        <v>75</v>
      </c>
      <c r="I224" s="83">
        <f>E224*H224</f>
        <v>0</v>
      </c>
      <c r="J224" s="83"/>
      <c r="K224" s="45">
        <v>75</v>
      </c>
      <c r="L224" s="84">
        <f>E224*K224</f>
        <v>0</v>
      </c>
      <c r="M224" s="5"/>
      <c r="N224" s="5"/>
      <c r="O224" s="5"/>
      <c r="P224" s="5"/>
      <c r="Q224" s="5"/>
    </row>
    <row r="225" spans="1:17" x14ac:dyDescent="0.25">
      <c r="D225" s="90"/>
      <c r="E225" s="100"/>
      <c r="F225" s="100"/>
      <c r="G225" s="54"/>
      <c r="H225" s="6"/>
      <c r="I225" s="6"/>
      <c r="J225" s="6"/>
      <c r="K225" s="5"/>
      <c r="L225" s="72"/>
      <c r="M225" s="5"/>
      <c r="N225" s="5"/>
      <c r="O225" s="5"/>
      <c r="P225" s="5"/>
      <c r="Q225" s="5"/>
    </row>
    <row r="226" spans="1:17" ht="16.5" thickBot="1" x14ac:dyDescent="0.3">
      <c r="B226" s="40" t="s">
        <v>118</v>
      </c>
      <c r="D226" s="90"/>
      <c r="E226" s="100"/>
      <c r="F226" s="100"/>
      <c r="I226" s="55">
        <f>I206+I217+SUM(I219:I221)+I224</f>
        <v>16523.84155477988</v>
      </c>
      <c r="J226" s="56"/>
      <c r="K226" s="5"/>
      <c r="L226" s="55">
        <f>L206+L217+SUM(L219:L221)+L224</f>
        <v>16523.842015460272</v>
      </c>
      <c r="M226" s="5"/>
      <c r="N226" s="5"/>
      <c r="O226" s="5"/>
      <c r="P226" s="5"/>
      <c r="Q226" s="5"/>
    </row>
    <row r="227" spans="1:17" ht="16.5" thickTop="1" x14ac:dyDescent="0.25">
      <c r="B227" s="40"/>
      <c r="D227" s="90"/>
      <c r="E227" s="100"/>
      <c r="F227" s="100"/>
      <c r="I227" s="56"/>
      <c r="J227" s="56"/>
      <c r="K227" s="5"/>
      <c r="L227" s="72"/>
      <c r="M227" s="5"/>
      <c r="N227" s="5"/>
      <c r="O227" s="5"/>
      <c r="P227" s="5"/>
      <c r="Q227" s="5"/>
    </row>
    <row r="228" spans="1:17" x14ac:dyDescent="0.25">
      <c r="C228" s="50" t="s">
        <v>81</v>
      </c>
      <c r="F228" s="108"/>
      <c r="I228" s="1"/>
      <c r="J228" s="1"/>
      <c r="K228" s="1"/>
      <c r="L228" s="72">
        <f>L226-I226</f>
        <v>4.6068039227975532E-4</v>
      </c>
      <c r="M228" s="113"/>
      <c r="N228" s="76"/>
      <c r="O228" s="5"/>
      <c r="P228" s="5"/>
      <c r="Q228" s="5"/>
    </row>
    <row r="229" spans="1:17" x14ac:dyDescent="0.25">
      <c r="C229" s="119"/>
      <c r="F229" s="108"/>
      <c r="H229" s="67"/>
      <c r="I229" s="84"/>
      <c r="J229" s="84"/>
      <c r="K229" s="5"/>
      <c r="L229" s="120">
        <f>L228/I226</f>
        <v>2.7879739148581555E-8</v>
      </c>
      <c r="M229" s="5"/>
      <c r="N229" s="5"/>
      <c r="O229" s="5"/>
      <c r="P229" s="5"/>
      <c r="Q229" s="5"/>
    </row>
    <row r="230" spans="1:17" x14ac:dyDescent="0.25">
      <c r="B230" s="42"/>
      <c r="K230" s="5"/>
      <c r="L230" s="126"/>
      <c r="M230" s="5"/>
      <c r="N230" s="5"/>
      <c r="O230" s="5"/>
      <c r="P230" s="5"/>
      <c r="Q230" s="5"/>
    </row>
    <row r="231" spans="1:17" x14ac:dyDescent="0.25">
      <c r="A231" s="5"/>
      <c r="B231" s="39" t="s">
        <v>124</v>
      </c>
      <c r="K231" s="5"/>
      <c r="L231" s="5"/>
      <c r="M231" s="5"/>
      <c r="N231" s="5"/>
      <c r="O231" s="5"/>
      <c r="P231" s="5"/>
      <c r="Q231" s="5"/>
    </row>
    <row r="232" spans="1:17" x14ac:dyDescent="0.25">
      <c r="B232" s="121"/>
      <c r="K232" s="5"/>
      <c r="L232" s="5"/>
      <c r="M232" s="5"/>
      <c r="N232" s="5"/>
      <c r="O232" s="5"/>
      <c r="P232" s="5"/>
      <c r="Q232" s="5"/>
    </row>
    <row r="233" spans="1:17" x14ac:dyDescent="0.25">
      <c r="A233" s="5"/>
      <c r="B233" s="36" t="s">
        <v>151</v>
      </c>
      <c r="C233" s="115"/>
      <c r="K233" s="5"/>
      <c r="L233" s="5"/>
      <c r="M233" s="5"/>
      <c r="N233" s="5"/>
      <c r="O233" s="5"/>
      <c r="P233" s="5"/>
      <c r="Q233" s="5"/>
    </row>
    <row r="234" spans="1:17" x14ac:dyDescent="0.25">
      <c r="A234" s="5"/>
      <c r="B234" s="36"/>
      <c r="C234" s="62" t="s">
        <v>117</v>
      </c>
      <c r="K234" s="5"/>
      <c r="L234" s="5"/>
      <c r="M234" s="5"/>
      <c r="N234" s="5"/>
      <c r="O234" s="5"/>
      <c r="P234" s="5"/>
      <c r="Q234" s="5"/>
    </row>
    <row r="235" spans="1:17" x14ac:dyDescent="0.25">
      <c r="A235" s="5" t="s">
        <v>101</v>
      </c>
      <c r="B235" s="40"/>
      <c r="C235" s="17" t="s">
        <v>132</v>
      </c>
      <c r="E235" s="49">
        <v>12</v>
      </c>
      <c r="H235" s="45">
        <v>285</v>
      </c>
      <c r="I235" s="72">
        <f>+E235*H235</f>
        <v>3420</v>
      </c>
      <c r="J235" s="72"/>
      <c r="K235" s="45">
        <v>285</v>
      </c>
      <c r="L235" s="72">
        <f>E235*K235</f>
        <v>3420</v>
      </c>
      <c r="M235" s="120"/>
      <c r="N235" s="5"/>
      <c r="O235" s="5"/>
      <c r="P235" s="5"/>
      <c r="Q235" s="5"/>
    </row>
    <row r="236" spans="1:17" x14ac:dyDescent="0.25">
      <c r="A236" s="5"/>
      <c r="C236" s="17" t="s">
        <v>0</v>
      </c>
      <c r="F236" s="49">
        <v>1497.8666049837539</v>
      </c>
      <c r="H236" s="67">
        <v>0.36</v>
      </c>
      <c r="I236" s="72">
        <f>F236*H236</f>
        <v>539.23197779415136</v>
      </c>
      <c r="J236" s="72"/>
      <c r="K236" s="47">
        <v>0.36030000000000001</v>
      </c>
      <c r="L236" s="72">
        <f>F236*K236</f>
        <v>539.68133777564651</v>
      </c>
      <c r="M236" s="120"/>
      <c r="N236" s="5"/>
      <c r="O236" s="5"/>
      <c r="P236" s="79"/>
      <c r="Q236" s="5"/>
    </row>
    <row r="237" spans="1:17" x14ac:dyDescent="0.25">
      <c r="A237" s="5"/>
      <c r="C237" s="73" t="s">
        <v>13</v>
      </c>
      <c r="F237" s="49">
        <v>5112</v>
      </c>
      <c r="H237" s="80">
        <v>6.04</v>
      </c>
      <c r="I237" s="84">
        <f>F237*H237</f>
        <v>30876.48</v>
      </c>
      <c r="J237" s="84"/>
      <c r="K237" s="211">
        <v>6.58</v>
      </c>
      <c r="L237" s="74">
        <f>F237*K237</f>
        <v>33636.959999999999</v>
      </c>
      <c r="M237" s="120"/>
      <c r="N237" s="5"/>
      <c r="O237" s="5"/>
      <c r="P237" s="5"/>
      <c r="Q237" s="5"/>
    </row>
    <row r="238" spans="1:17" x14ac:dyDescent="0.25">
      <c r="A238" s="5"/>
      <c r="C238" s="99" t="s">
        <v>25</v>
      </c>
      <c r="F238" s="102"/>
      <c r="H238" s="47"/>
      <c r="I238" s="104">
        <f>SUM(I235:I237)</f>
        <v>34835.711977794148</v>
      </c>
      <c r="J238" s="72"/>
      <c r="K238" s="47"/>
      <c r="L238" s="104">
        <f>SUM(L235:L237)</f>
        <v>37596.641337775647</v>
      </c>
      <c r="M238" s="5"/>
      <c r="N238" s="5"/>
      <c r="O238" s="5"/>
      <c r="P238" s="5"/>
      <c r="Q238" s="5"/>
    </row>
    <row r="239" spans="1:17" x14ac:dyDescent="0.25">
      <c r="A239" s="5"/>
      <c r="C239" s="40"/>
      <c r="F239" s="102"/>
      <c r="H239" s="47"/>
      <c r="I239" s="72"/>
      <c r="J239" s="72"/>
      <c r="K239" s="47"/>
      <c r="L239" s="72"/>
      <c r="M239" s="5"/>
      <c r="N239" s="5"/>
      <c r="O239" s="5"/>
      <c r="P239" s="5"/>
      <c r="Q239" s="5"/>
    </row>
    <row r="240" spans="1:17" x14ac:dyDescent="0.25">
      <c r="A240" s="5"/>
      <c r="C240" s="40" t="s">
        <v>87</v>
      </c>
      <c r="F240" s="102"/>
      <c r="G240" s="41" t="s">
        <v>107</v>
      </c>
      <c r="H240" s="51">
        <v>1</v>
      </c>
      <c r="I240" s="104">
        <f>I238/H240</f>
        <v>34835.711977794148</v>
      </c>
      <c r="J240" s="72"/>
      <c r="K240" s="103">
        <f>H240</f>
        <v>1</v>
      </c>
      <c r="L240" s="104">
        <f>L238/K240</f>
        <v>37596.641337775647</v>
      </c>
      <c r="M240" s="5"/>
      <c r="N240" s="5"/>
      <c r="O240" s="5"/>
      <c r="P240" s="5"/>
      <c r="Q240" s="5"/>
    </row>
    <row r="241" spans="1:17" x14ac:dyDescent="0.25">
      <c r="A241" s="5"/>
      <c r="F241" s="102"/>
      <c r="H241" s="47"/>
      <c r="I241" s="72"/>
      <c r="J241" s="72"/>
      <c r="K241" s="47"/>
      <c r="L241" s="72"/>
      <c r="M241" s="5"/>
      <c r="N241" s="5"/>
      <c r="O241" s="5"/>
      <c r="P241" s="5"/>
      <c r="Q241" s="5"/>
    </row>
    <row r="242" spans="1:17" x14ac:dyDescent="0.25">
      <c r="A242" s="5"/>
      <c r="C242" s="17" t="s">
        <v>38</v>
      </c>
      <c r="F242" s="108"/>
      <c r="H242" s="6"/>
      <c r="I242" s="84">
        <v>6210.1068295250452</v>
      </c>
      <c r="J242" s="45"/>
      <c r="K242" s="5"/>
      <c r="L242" s="84">
        <f>I242</f>
        <v>6210.1068295250452</v>
      </c>
      <c r="M242" s="5"/>
      <c r="N242" s="5"/>
      <c r="O242" s="5"/>
      <c r="P242" s="5"/>
      <c r="Q242" s="5"/>
    </row>
    <row r="243" spans="1:17" x14ac:dyDescent="0.25">
      <c r="A243" s="5"/>
      <c r="C243" s="17" t="s">
        <v>39</v>
      </c>
      <c r="H243" s="6"/>
      <c r="I243" s="84">
        <v>74.720687149941099</v>
      </c>
      <c r="J243" s="45"/>
      <c r="K243" s="5"/>
      <c r="L243" s="84">
        <f>I243</f>
        <v>74.720687149941099</v>
      </c>
      <c r="M243" s="5"/>
      <c r="N243" s="5"/>
      <c r="O243" s="5"/>
      <c r="P243" s="5"/>
      <c r="Q243" s="5"/>
    </row>
    <row r="244" spans="1:17" x14ac:dyDescent="0.25">
      <c r="A244" s="5"/>
      <c r="C244" s="17" t="s">
        <v>35</v>
      </c>
      <c r="I244" s="84">
        <v>2345.8732430380942</v>
      </c>
      <c r="J244" s="84"/>
      <c r="K244" s="5"/>
      <c r="L244" s="84">
        <f>I244</f>
        <v>2345.8732430380942</v>
      </c>
      <c r="M244" s="5"/>
      <c r="N244" s="5"/>
      <c r="O244" s="5"/>
      <c r="P244" s="5"/>
      <c r="Q244" s="5"/>
    </row>
    <row r="245" spans="1:17" x14ac:dyDescent="0.25">
      <c r="A245" s="5"/>
      <c r="I245" s="84"/>
      <c r="J245" s="84"/>
      <c r="K245" s="5"/>
      <c r="L245" s="5"/>
      <c r="M245" s="5"/>
      <c r="N245" s="5"/>
      <c r="O245" s="5"/>
      <c r="P245" s="5"/>
      <c r="Q245" s="5"/>
    </row>
    <row r="246" spans="1:17" ht="16.5" thickBot="1" x14ac:dyDescent="0.3">
      <c r="A246" s="5"/>
      <c r="B246" s="40" t="s">
        <v>120</v>
      </c>
      <c r="F246" s="108"/>
      <c r="I246" s="112">
        <f>SUM(I240:I244)</f>
        <v>43466.412737507228</v>
      </c>
      <c r="J246" s="72"/>
      <c r="K246" s="5"/>
      <c r="L246" s="112">
        <f>SUM(L240:L244)</f>
        <v>46227.342097488727</v>
      </c>
      <c r="M246" s="5"/>
      <c r="N246" s="76"/>
      <c r="O246" s="5"/>
      <c r="P246" s="5"/>
      <c r="Q246" s="5"/>
    </row>
    <row r="247" spans="1:17" ht="16.5" thickTop="1" x14ac:dyDescent="0.25">
      <c r="A247" s="5"/>
      <c r="C247" s="119"/>
      <c r="F247" s="108"/>
      <c r="H247" s="67"/>
      <c r="I247" s="84"/>
      <c r="J247" s="84"/>
      <c r="K247" s="5"/>
      <c r="L247" s="5"/>
      <c r="M247" s="5"/>
      <c r="N247" s="5"/>
      <c r="O247" s="5"/>
      <c r="P247" s="5"/>
      <c r="Q247" s="5"/>
    </row>
    <row r="248" spans="1:17" x14ac:dyDescent="0.25">
      <c r="A248" s="5"/>
      <c r="C248" s="50" t="s">
        <v>81</v>
      </c>
      <c r="F248" s="108"/>
      <c r="H248" s="67"/>
      <c r="I248" s="6"/>
      <c r="J248" s="6"/>
      <c r="K248" s="5"/>
      <c r="L248" s="72">
        <f>L246-I246</f>
        <v>2760.9293599814991</v>
      </c>
      <c r="M248" s="60"/>
      <c r="N248" s="5"/>
      <c r="O248" s="5"/>
      <c r="P248" s="5"/>
      <c r="Q248" s="5"/>
    </row>
    <row r="249" spans="1:17" x14ac:dyDescent="0.25">
      <c r="A249" s="5"/>
      <c r="B249" s="6"/>
      <c r="C249" s="6"/>
      <c r="D249" s="6"/>
      <c r="E249" s="54"/>
      <c r="F249" s="54"/>
      <c r="G249" s="54"/>
      <c r="H249" s="6"/>
      <c r="J249" s="84"/>
      <c r="K249" s="5"/>
      <c r="L249" s="120">
        <f>IF(L248=0,0,L248/I246)</f>
        <v>6.3518684568121472E-2</v>
      </c>
      <c r="M249" s="61"/>
      <c r="N249" s="5"/>
      <c r="O249" s="5"/>
      <c r="P249" s="5"/>
      <c r="Q249" s="5"/>
    </row>
    <row r="250" spans="1:17" x14ac:dyDescent="0.25">
      <c r="A250" s="5"/>
      <c r="B250" s="6"/>
      <c r="C250" s="6"/>
      <c r="D250" s="6"/>
      <c r="E250" s="54"/>
      <c r="F250" s="54"/>
      <c r="G250" s="54"/>
      <c r="H250" s="6"/>
      <c r="J250" s="84"/>
      <c r="K250" s="5"/>
      <c r="L250" s="126"/>
      <c r="M250" s="5"/>
      <c r="N250" s="5"/>
      <c r="O250" s="5"/>
      <c r="P250" s="5"/>
      <c r="Q250" s="5"/>
    </row>
    <row r="251" spans="1:17" x14ac:dyDescent="0.25">
      <c r="A251" s="5"/>
      <c r="B251" s="39" t="s">
        <v>125</v>
      </c>
      <c r="K251" s="5"/>
      <c r="L251" s="5"/>
      <c r="M251" s="5"/>
      <c r="N251" s="5"/>
      <c r="O251" s="5"/>
      <c r="P251" s="5"/>
      <c r="Q251" s="5"/>
    </row>
    <row r="252" spans="1:17" x14ac:dyDescent="0.25">
      <c r="B252" s="121"/>
      <c r="K252" s="5"/>
      <c r="L252" s="5"/>
      <c r="M252" s="5"/>
      <c r="N252" s="5"/>
      <c r="O252" s="5"/>
      <c r="P252" s="5"/>
      <c r="Q252" s="5"/>
    </row>
    <row r="253" spans="1:17" x14ac:dyDescent="0.25">
      <c r="A253" s="5"/>
      <c r="B253" s="36" t="s">
        <v>152</v>
      </c>
      <c r="C253" s="115"/>
      <c r="K253" s="5"/>
      <c r="L253" s="5"/>
      <c r="M253" s="5"/>
      <c r="N253" s="5"/>
      <c r="O253" s="5"/>
      <c r="P253" s="5"/>
      <c r="Q253" s="5"/>
    </row>
    <row r="254" spans="1:17" x14ac:dyDescent="0.25">
      <c r="A254" s="5"/>
      <c r="B254" s="36"/>
      <c r="C254" s="62" t="s">
        <v>117</v>
      </c>
      <c r="K254" s="5"/>
      <c r="L254" s="5"/>
      <c r="M254" s="5"/>
      <c r="N254" s="5"/>
      <c r="O254" s="5"/>
      <c r="P254" s="5"/>
      <c r="Q254" s="5"/>
    </row>
    <row r="255" spans="1:17" x14ac:dyDescent="0.25">
      <c r="A255" s="5" t="s">
        <v>102</v>
      </c>
      <c r="C255" s="17" t="s">
        <v>132</v>
      </c>
      <c r="E255" s="49">
        <v>0</v>
      </c>
      <c r="F255" s="108"/>
      <c r="H255" s="45">
        <v>750</v>
      </c>
      <c r="I255" s="72">
        <f>+E255*H255</f>
        <v>0</v>
      </c>
      <c r="J255" s="72"/>
      <c r="K255" s="45">
        <f>H255</f>
        <v>750</v>
      </c>
      <c r="L255" s="72">
        <f>E255*K255</f>
        <v>0</v>
      </c>
      <c r="M255" s="5"/>
      <c r="N255" s="5"/>
      <c r="O255" s="5"/>
      <c r="P255" s="5"/>
      <c r="Q255" s="5"/>
    </row>
    <row r="256" spans="1:17" x14ac:dyDescent="0.25">
      <c r="A256" s="5"/>
      <c r="C256" s="17" t="s">
        <v>0</v>
      </c>
      <c r="F256" s="49">
        <v>0</v>
      </c>
      <c r="H256" s="47">
        <v>0.29919999999999997</v>
      </c>
      <c r="I256" s="72">
        <f>F256*H256</f>
        <v>0</v>
      </c>
      <c r="K256" s="47">
        <f>H256</f>
        <v>0.29919999999999997</v>
      </c>
      <c r="L256" s="72">
        <f>F256*K256</f>
        <v>0</v>
      </c>
      <c r="M256" s="5"/>
      <c r="N256" s="5"/>
      <c r="O256" s="5"/>
      <c r="P256" s="5"/>
      <c r="Q256" s="5"/>
    </row>
    <row r="257" spans="1:17" x14ac:dyDescent="0.25">
      <c r="A257" s="5"/>
      <c r="C257" s="73" t="s">
        <v>13</v>
      </c>
      <c r="F257" s="49">
        <v>0</v>
      </c>
      <c r="H257" s="80">
        <v>10.9</v>
      </c>
      <c r="I257" s="74">
        <f>F257*H257</f>
        <v>0</v>
      </c>
      <c r="J257" s="72"/>
      <c r="K257" s="80">
        <f>H257</f>
        <v>10.9</v>
      </c>
      <c r="L257" s="74">
        <f>F257*K257</f>
        <v>0</v>
      </c>
      <c r="M257" s="5"/>
      <c r="N257" s="5"/>
      <c r="O257" s="5"/>
      <c r="P257" s="5"/>
      <c r="Q257" s="5"/>
    </row>
    <row r="258" spans="1:17" x14ac:dyDescent="0.25">
      <c r="A258" s="5"/>
      <c r="C258" s="99" t="s">
        <v>25</v>
      </c>
      <c r="F258" s="102"/>
      <c r="H258" s="47"/>
      <c r="I258" s="104">
        <f>SUM(I255:I257)</f>
        <v>0</v>
      </c>
      <c r="J258" s="72"/>
      <c r="K258" s="47"/>
      <c r="L258" s="104">
        <f>SUM(L255:L257)</f>
        <v>0</v>
      </c>
      <c r="M258" s="5"/>
      <c r="N258" s="5"/>
      <c r="O258" s="5"/>
      <c r="P258" s="5"/>
      <c r="Q258" s="5"/>
    </row>
    <row r="259" spans="1:17" x14ac:dyDescent="0.25">
      <c r="A259" s="5"/>
      <c r="C259" s="40"/>
      <c r="F259" s="102"/>
      <c r="H259" s="47"/>
      <c r="I259" s="72"/>
      <c r="J259" s="72"/>
      <c r="K259" s="47"/>
      <c r="L259" s="72"/>
      <c r="M259" s="5"/>
      <c r="N259" s="5"/>
      <c r="O259" s="5"/>
      <c r="P259" s="5"/>
      <c r="Q259" s="5"/>
    </row>
    <row r="260" spans="1:17" x14ac:dyDescent="0.25">
      <c r="A260" s="5"/>
      <c r="C260" s="40" t="s">
        <v>87</v>
      </c>
      <c r="F260" s="102"/>
      <c r="G260" s="41" t="s">
        <v>107</v>
      </c>
      <c r="H260" s="51">
        <v>0</v>
      </c>
      <c r="I260" s="104">
        <f>IF(H260=0,0,I258/H260)</f>
        <v>0</v>
      </c>
      <c r="J260" s="72"/>
      <c r="K260" s="103">
        <f>H260</f>
        <v>0</v>
      </c>
      <c r="L260" s="104">
        <f>IF(K260=0,0,L258/K260)</f>
        <v>0</v>
      </c>
      <c r="M260" s="5"/>
      <c r="N260" s="5"/>
      <c r="O260" s="5"/>
      <c r="P260" s="5"/>
      <c r="Q260" s="5"/>
    </row>
    <row r="261" spans="1:17" x14ac:dyDescent="0.25">
      <c r="A261" s="5"/>
      <c r="F261" s="102"/>
      <c r="H261" s="47"/>
      <c r="I261" s="72"/>
      <c r="J261" s="72"/>
      <c r="K261" s="47"/>
      <c r="L261" s="72"/>
      <c r="M261" s="5"/>
      <c r="N261" s="5"/>
      <c r="O261" s="5"/>
      <c r="P261" s="5"/>
      <c r="Q261" s="5"/>
    </row>
    <row r="262" spans="1:17" x14ac:dyDescent="0.25">
      <c r="A262" s="5"/>
      <c r="C262" s="17" t="s">
        <v>38</v>
      </c>
      <c r="F262" s="108"/>
      <c r="H262" s="6"/>
      <c r="I262" s="84">
        <v>0</v>
      </c>
      <c r="J262" s="45"/>
      <c r="K262" s="5"/>
      <c r="L262" s="84">
        <f>I262</f>
        <v>0</v>
      </c>
      <c r="M262" s="5"/>
      <c r="N262" s="5"/>
      <c r="O262" s="5"/>
      <c r="P262" s="5"/>
      <c r="Q262" s="5"/>
    </row>
    <row r="263" spans="1:17" x14ac:dyDescent="0.25">
      <c r="A263" s="5"/>
      <c r="C263" s="17" t="s">
        <v>39</v>
      </c>
      <c r="H263" s="6"/>
      <c r="I263" s="84">
        <v>0</v>
      </c>
      <c r="J263" s="45"/>
      <c r="K263" s="5"/>
      <c r="L263" s="84">
        <f>I263</f>
        <v>0</v>
      </c>
      <c r="M263" s="5"/>
      <c r="N263" s="5"/>
      <c r="O263" s="5"/>
      <c r="P263" s="5"/>
      <c r="Q263" s="5"/>
    </row>
    <row r="264" spans="1:17" x14ac:dyDescent="0.25">
      <c r="A264" s="5"/>
      <c r="C264" s="17" t="s">
        <v>35</v>
      </c>
      <c r="I264" s="84">
        <v>0</v>
      </c>
      <c r="J264" s="84"/>
      <c r="K264" s="5"/>
      <c r="L264" s="84">
        <f>I264</f>
        <v>0</v>
      </c>
      <c r="M264" s="5"/>
      <c r="N264" s="5"/>
      <c r="O264" s="5"/>
      <c r="P264" s="5"/>
      <c r="Q264" s="5"/>
    </row>
    <row r="265" spans="1:17" x14ac:dyDescent="0.25">
      <c r="A265" s="5"/>
      <c r="I265" s="84"/>
      <c r="J265" s="84"/>
      <c r="K265" s="5"/>
      <c r="L265" s="5"/>
      <c r="M265" s="5"/>
      <c r="N265" s="5"/>
      <c r="O265" s="5"/>
      <c r="P265" s="5"/>
      <c r="Q265" s="5"/>
    </row>
    <row r="266" spans="1:17" ht="16.5" thickBot="1" x14ac:dyDescent="0.3">
      <c r="A266" s="5"/>
      <c r="B266" s="40" t="s">
        <v>120</v>
      </c>
      <c r="F266" s="108"/>
      <c r="I266" s="112">
        <f>SUM(I260:I264)</f>
        <v>0</v>
      </c>
      <c r="J266" s="72"/>
      <c r="K266" s="5"/>
      <c r="L266" s="112">
        <f>SUM(L260:L264)</f>
        <v>0</v>
      </c>
      <c r="M266" s="5"/>
      <c r="N266" s="5"/>
      <c r="O266" s="5"/>
      <c r="P266" s="5"/>
      <c r="Q266" s="5"/>
    </row>
    <row r="267" spans="1:17" ht="16.5" thickTop="1" x14ac:dyDescent="0.25">
      <c r="A267" s="5"/>
      <c r="C267" s="119"/>
      <c r="F267" s="108"/>
      <c r="H267" s="67"/>
      <c r="I267" s="84"/>
      <c r="J267" s="84"/>
      <c r="K267" s="5"/>
      <c r="L267" s="5"/>
      <c r="M267" s="5"/>
      <c r="N267" s="5"/>
      <c r="O267" s="5"/>
      <c r="P267" s="5"/>
      <c r="Q267" s="5"/>
    </row>
    <row r="268" spans="1:17" x14ac:dyDescent="0.25">
      <c r="A268" s="5"/>
      <c r="C268" s="50" t="s">
        <v>81</v>
      </c>
      <c r="F268" s="108"/>
      <c r="H268" s="67"/>
      <c r="I268" s="6"/>
      <c r="J268" s="6"/>
      <c r="K268" s="5"/>
      <c r="L268" s="72">
        <f>L266-I266</f>
        <v>0</v>
      </c>
      <c r="M268" s="5"/>
      <c r="N268" s="5"/>
      <c r="O268" s="5"/>
      <c r="P268" s="5"/>
      <c r="Q268" s="5"/>
    </row>
    <row r="269" spans="1:17" x14ac:dyDescent="0.25">
      <c r="A269" s="5"/>
      <c r="C269" s="50"/>
      <c r="F269" s="108"/>
      <c r="H269" s="67"/>
      <c r="I269" s="6"/>
      <c r="J269" s="6"/>
      <c r="K269" s="5"/>
      <c r="L269" s="120">
        <f>IF(I266=0,0,L268/I266)</f>
        <v>0</v>
      </c>
      <c r="M269" s="5"/>
      <c r="N269" s="5"/>
      <c r="O269" s="5"/>
      <c r="P269" s="5"/>
      <c r="Q269" s="5"/>
    </row>
    <row r="270" spans="1:17" x14ac:dyDescent="0.25">
      <c r="A270" s="5"/>
      <c r="B270" s="6"/>
      <c r="C270" s="6"/>
      <c r="D270" s="6"/>
      <c r="E270" s="54"/>
      <c r="F270" s="54"/>
      <c r="G270" s="54"/>
      <c r="H270" s="6"/>
      <c r="J270" s="84"/>
      <c r="K270" s="5"/>
      <c r="L270" s="126"/>
      <c r="M270" s="5"/>
      <c r="N270" s="5"/>
      <c r="O270" s="5"/>
      <c r="P270" s="5"/>
      <c r="Q270" s="5"/>
    </row>
    <row r="271" spans="1:17" x14ac:dyDescent="0.25">
      <c r="A271" s="5"/>
      <c r="B271" s="39" t="s">
        <v>96</v>
      </c>
      <c r="K271" s="5"/>
      <c r="L271" s="5"/>
      <c r="M271" s="5"/>
      <c r="N271" s="5"/>
      <c r="O271" s="5"/>
      <c r="P271" s="5"/>
      <c r="Q271" s="5"/>
    </row>
    <row r="272" spans="1:17" x14ac:dyDescent="0.25">
      <c r="A272" s="5"/>
      <c r="B272" s="121"/>
      <c r="K272" s="5"/>
      <c r="L272" s="5"/>
      <c r="M272" s="5"/>
      <c r="N272" s="5"/>
      <c r="O272" s="5"/>
      <c r="P272" s="5"/>
      <c r="Q272" s="5"/>
    </row>
    <row r="273" spans="1:14" x14ac:dyDescent="0.25">
      <c r="A273" s="5" t="s">
        <v>97</v>
      </c>
      <c r="B273" s="36" t="s">
        <v>153</v>
      </c>
      <c r="C273" s="115"/>
      <c r="K273" s="5"/>
      <c r="L273" s="5"/>
      <c r="M273" s="5"/>
      <c r="N273" s="5"/>
    </row>
    <row r="274" spans="1:14" x14ac:dyDescent="0.25">
      <c r="A274" s="5"/>
      <c r="C274" s="17" t="s">
        <v>26</v>
      </c>
      <c r="E274" s="53">
        <v>0</v>
      </c>
      <c r="F274" s="108"/>
      <c r="H274" s="45">
        <v>550</v>
      </c>
      <c r="I274" s="72">
        <f>+E274*H274</f>
        <v>0</v>
      </c>
      <c r="J274" s="72"/>
      <c r="K274" s="45">
        <f>K155</f>
        <v>550</v>
      </c>
      <c r="L274" s="72">
        <f>E274*K274</f>
        <v>0</v>
      </c>
      <c r="M274" s="5"/>
      <c r="N274" s="5"/>
    </row>
    <row r="275" spans="1:14" x14ac:dyDescent="0.25">
      <c r="C275" s="62" t="s">
        <v>117</v>
      </c>
    </row>
    <row r="276" spans="1:14" x14ac:dyDescent="0.25">
      <c r="A276" s="5"/>
      <c r="B276" s="40"/>
      <c r="C276" s="17" t="s">
        <v>132</v>
      </c>
      <c r="E276" s="49">
        <v>0</v>
      </c>
      <c r="H276" s="45">
        <v>1310</v>
      </c>
      <c r="I276" s="72">
        <f>+E276*H276</f>
        <v>0</v>
      </c>
      <c r="J276" s="72"/>
      <c r="K276" s="45">
        <f>K157</f>
        <v>750</v>
      </c>
      <c r="L276" s="72">
        <f>E276*K276</f>
        <v>0</v>
      </c>
      <c r="M276" s="5"/>
      <c r="N276" s="5"/>
    </row>
    <row r="277" spans="1:14" x14ac:dyDescent="0.25">
      <c r="C277" s="59" t="s">
        <v>106</v>
      </c>
      <c r="F277" s="49">
        <v>0</v>
      </c>
      <c r="H277" s="67">
        <v>3.8800000000000001E-2</v>
      </c>
      <c r="I277" s="72">
        <f>F277*H277</f>
        <v>0</v>
      </c>
      <c r="J277" s="72"/>
      <c r="K277" s="67">
        <f t="shared" ref="K277:K278" si="4">K158</f>
        <v>3.7999999999999999E-2</v>
      </c>
      <c r="L277" s="72">
        <f>F277*K277</f>
        <v>0</v>
      </c>
    </row>
    <row r="278" spans="1:14" x14ac:dyDescent="0.25">
      <c r="C278" s="73" t="s">
        <v>13</v>
      </c>
      <c r="F278" s="49">
        <v>0</v>
      </c>
      <c r="H278" s="80">
        <v>2.5700000000000003</v>
      </c>
      <c r="I278" s="74">
        <f>F278*H278</f>
        <v>0</v>
      </c>
      <c r="J278" s="72"/>
      <c r="K278" s="80">
        <f t="shared" si="4"/>
        <v>4.8899999999999997</v>
      </c>
      <c r="L278" s="74">
        <f>F278*K278</f>
        <v>0</v>
      </c>
    </row>
    <row r="279" spans="1:14" x14ac:dyDescent="0.25">
      <c r="C279" s="99" t="s">
        <v>25</v>
      </c>
      <c r="F279" s="102"/>
      <c r="H279" s="47"/>
      <c r="I279" s="104">
        <f>SUM(I274:I278)</f>
        <v>0</v>
      </c>
      <c r="J279" s="72"/>
      <c r="K279" s="47"/>
      <c r="L279" s="104">
        <f>SUM(L274:L278)</f>
        <v>0</v>
      </c>
    </row>
    <row r="280" spans="1:14" x14ac:dyDescent="0.25">
      <c r="C280" s="40"/>
      <c r="F280" s="102"/>
      <c r="H280" s="47"/>
      <c r="I280" s="72"/>
      <c r="J280" s="72"/>
      <c r="K280" s="47"/>
      <c r="L280" s="72"/>
    </row>
    <row r="281" spans="1:14" x14ac:dyDescent="0.25">
      <c r="C281" s="40" t="s">
        <v>87</v>
      </c>
      <c r="F281" s="102"/>
      <c r="G281" s="41" t="s">
        <v>107</v>
      </c>
      <c r="H281" s="51">
        <v>0</v>
      </c>
      <c r="I281" s="212">
        <f>IF(I279=0,0,I279/H281)</f>
        <v>0</v>
      </c>
      <c r="J281" s="72"/>
      <c r="K281" s="103">
        <f>H281</f>
        <v>0</v>
      </c>
      <c r="L281" s="212">
        <f>IF(L279=0,0,L279/K281)</f>
        <v>0</v>
      </c>
    </row>
    <row r="282" spans="1:14" x14ac:dyDescent="0.25">
      <c r="F282" s="102"/>
      <c r="H282" s="47"/>
      <c r="I282" s="72"/>
      <c r="J282" s="72"/>
      <c r="K282" s="47"/>
      <c r="L282" s="72"/>
    </row>
    <row r="283" spans="1:14" x14ac:dyDescent="0.25">
      <c r="C283" s="17" t="s">
        <v>38</v>
      </c>
      <c r="F283" s="102"/>
      <c r="H283" s="47"/>
      <c r="I283" s="84">
        <v>0</v>
      </c>
      <c r="J283" s="72"/>
      <c r="K283" s="47"/>
      <c r="L283" s="72">
        <f>I283</f>
        <v>0</v>
      </c>
    </row>
    <row r="284" spans="1:14" x14ac:dyDescent="0.25">
      <c r="C284" s="17" t="s">
        <v>39</v>
      </c>
      <c r="F284" s="102"/>
      <c r="H284" s="47"/>
      <c r="I284" s="84">
        <v>0</v>
      </c>
      <c r="J284" s="72"/>
      <c r="K284" s="47"/>
      <c r="L284" s="72">
        <f>I284</f>
        <v>0</v>
      </c>
    </row>
    <row r="285" spans="1:14" x14ac:dyDescent="0.25">
      <c r="C285" s="17" t="s">
        <v>35</v>
      </c>
      <c r="I285" s="84">
        <v>0</v>
      </c>
      <c r="J285" s="84"/>
      <c r="K285" s="5"/>
      <c r="L285" s="84">
        <f>I285</f>
        <v>0</v>
      </c>
    </row>
    <row r="286" spans="1:14" x14ac:dyDescent="0.25">
      <c r="I286" s="84"/>
      <c r="J286" s="84"/>
      <c r="K286" s="5"/>
      <c r="L286" s="5"/>
    </row>
    <row r="287" spans="1:14" ht="16.5" thickBot="1" x14ac:dyDescent="0.3">
      <c r="B287" s="40" t="s">
        <v>121</v>
      </c>
      <c r="C287" s="42"/>
      <c r="F287" s="108"/>
      <c r="I287" s="112">
        <f>SUM(I281:I285)</f>
        <v>0</v>
      </c>
      <c r="J287" s="72"/>
      <c r="K287" s="5"/>
      <c r="L287" s="112">
        <f>SUM(L281:L285)</f>
        <v>0</v>
      </c>
    </row>
    <row r="288" spans="1:14" ht="16.5" thickTop="1" x14ac:dyDescent="0.25">
      <c r="C288" s="119"/>
      <c r="F288" s="108"/>
      <c r="H288" s="67"/>
      <c r="I288" s="84"/>
      <c r="J288" s="84"/>
      <c r="K288" s="5"/>
      <c r="L288" s="5"/>
    </row>
    <row r="289" spans="2:12" x14ac:dyDescent="0.25">
      <c r="C289" s="50" t="s">
        <v>81</v>
      </c>
      <c r="F289" s="108"/>
      <c r="H289" s="67"/>
      <c r="I289" s="6"/>
      <c r="J289" s="6"/>
      <c r="K289" s="5"/>
      <c r="L289" s="72">
        <f>L287-I287</f>
        <v>0</v>
      </c>
    </row>
    <row r="290" spans="2:12" x14ac:dyDescent="0.25">
      <c r="B290" s="6"/>
      <c r="C290" s="6"/>
      <c r="D290" s="6"/>
      <c r="E290" s="54"/>
      <c r="F290" s="54"/>
      <c r="G290" s="54"/>
      <c r="H290" s="6"/>
      <c r="J290" s="84"/>
      <c r="K290" s="5"/>
      <c r="L290" s="120">
        <f>IF(L289=0,0,L289/I287)</f>
        <v>0</v>
      </c>
    </row>
    <row r="293" spans="2:12" x14ac:dyDescent="0.25">
      <c r="I293" s="44"/>
    </row>
    <row r="296" spans="2:12" x14ac:dyDescent="0.25">
      <c r="I296" s="72"/>
    </row>
  </sheetData>
  <dataConsolidate/>
  <mergeCells count="6">
    <mergeCell ref="K11:L11"/>
    <mergeCell ref="B1:L1"/>
    <mergeCell ref="B2:L2"/>
    <mergeCell ref="B3:L3"/>
    <mergeCell ref="B4:L4"/>
    <mergeCell ref="B5:L5"/>
  </mergeCells>
  <printOptions horizontalCentered="1"/>
  <pageMargins left="0.75" right="0.75" top="1.75" bottom="0.5" header="0.75" footer="0.25"/>
  <pageSetup scale="50" fitToWidth="0" fitToHeight="0" orientation="landscape" r:id="rId1"/>
  <headerFooter>
    <oddFooter>&amp;R&amp;"-,Bold"&amp;14Stipulation Exibit 5
Page &amp;P of &amp;N</oddFooter>
  </headerFooter>
  <rowBreaks count="9" manualBreakCount="9">
    <brk id="35" min="1" max="11" man="1"/>
    <brk id="78" min="1" max="11" man="1"/>
    <brk id="119" min="1" max="11" man="1"/>
    <brk id="150" min="1" max="11" man="1"/>
    <brk id="174" min="1" max="11" man="1"/>
    <brk id="194" min="1" max="11" man="1"/>
    <brk id="229" max="16383" man="1"/>
    <brk id="249" max="16383" man="1"/>
    <brk id="269" max="16383" man="1"/>
  </rowBreaks>
  <colBreaks count="1" manualBreakCount="1">
    <brk id="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pany xmlns="54fcda00-7b58-44a7-b108-8bd10a8a08ba">
      <Value>LGE</Value>
    </Company>
    <Tariff_x0020_Dev_x0020_Doc_x0020_Type xmlns="54fcda00-7b58-44a7-b108-8bd10a8a08ba" xsi:nil="true"/>
    <Filing_x0020_Requirement xmlns="54fcda00-7b58-44a7-b108-8bd10a8a08ba" xsi:nil="true"/>
    <Round xmlns="54fcda00-7b58-44a7-b108-8bd10a8a08ba">Post Hearing DR01 Attachments</Round>
    <Data_x0020_Request_x0020_Question_x0020_No_x002e_ xmlns="54fcda00-7b58-44a7-b108-8bd10a8a08ba">013</Data_x0020_Request_x0020_Question_x0020_No_x002e_>
    <Year xmlns="54fcda00-7b58-44a7-b108-8bd10a8a08ba">2018</Year>
    <Document_x0020_Type xmlns="54fcda00-7b58-44a7-b108-8bd10a8a08ba">Data Requests</Document_x0020_Type>
    <Witness_x0020_Testimony xmlns="54fcda00-7b58-44a7-b108-8bd10a8a08ba">Seelye, Steve (The Prime Group)</Witness_x0020_Testimony>
    <Intervemprs xmlns="54fcda00-7b58-44a7-b108-8bd10a8a08ba">KY Public Service Commission - PSC</Intervemprs>
    <Filed_x0020_Documents xmlns="54fcda00-7b58-44a7-b108-8bd10a8a08b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34" ma:contentTypeDescription="Create a new document." ma:contentTypeScope="" ma:versionID="564212c8433631898006002af8bdbbd4">
  <xsd:schema xmlns:xsd="http://www.w3.org/2001/XMLSchema" xmlns:xs="http://www.w3.org/2001/XMLSchema" xmlns:p="http://schemas.microsoft.com/office/2006/metadata/properties" xmlns:ns2="54fcda00-7b58-44a7-b108-8bd10a8a08ba" targetNamespace="http://schemas.microsoft.com/office/2006/metadata/properties" ma:root="true" ma:fieldsID="82c124d73ee730d260d5c3ee21523c0c" ns2:_="">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Orders"/>
          <xsd:enumeration value="Direct Testimony"/>
          <xsd:enumeration value="Rebuttal Testimony"/>
          <xsd:enumeration value="Stipulation Testimony"/>
          <xsd:enumeration value="Supplemental Rebuttal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0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eelye, Steve (The Prime Group)"/>
          <xsd:enumeration value="Sinclair, David S."/>
          <xsd:enumeration value="Spanos, John J. (Gannett Fleming)"/>
          <xsd:enumeration value="Straight, Scott"/>
          <xsd:enumeration value="Thompson, Paul W."/>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E7E60C-14E4-4989-A51E-C1D76C60A5B3}">
  <ds:schemaRefs>
    <ds:schemaRef ds:uri="http://schemas.microsoft.com/sharepoint/v3/contenttype/forms"/>
  </ds:schemaRefs>
</ds:datastoreItem>
</file>

<file path=customXml/itemProps2.xml><?xml version="1.0" encoding="utf-8"?>
<ds:datastoreItem xmlns:ds="http://schemas.openxmlformats.org/officeDocument/2006/customXml" ds:itemID="{91694DE7-3A8B-46F1-859E-33B889A9877E}">
  <ds:schemaRefs>
    <ds:schemaRef ds:uri="http://schemas.microsoft.com/office/infopath/2007/PartnerControls"/>
    <ds:schemaRef ds:uri="http://purl.org/dc/dcmitype/"/>
    <ds:schemaRef ds:uri="http://www.w3.org/XML/1998/namespace"/>
    <ds:schemaRef ds:uri="b368e7c8-2de1-4fdc-90a9-bf3507435312"/>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8F91C9BF-D865-4097-8E58-3F41789D79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Index</vt:lpstr>
      <vt:lpstr>Stipulation Sch M-2.1-G</vt:lpstr>
      <vt:lpstr>Stipulation Sch M-2.2-G</vt:lpstr>
      <vt:lpstr>Stipulation Sch M-2.3 Pg.1</vt:lpstr>
      <vt:lpstr>Stipulation Sch M-2.3 Pg. 2-11</vt:lpstr>
      <vt:lpstr>Index!Print_Area</vt:lpstr>
      <vt:lpstr>'Stipulation Sch M-2.1-G'!Print_Area</vt:lpstr>
      <vt:lpstr>'Stipulation Sch M-2.2-G'!Print_Area</vt:lpstr>
      <vt:lpstr>'Stipulation Sch M-2.3 Pg. 2-11'!Print_Area</vt:lpstr>
      <vt:lpstr>'Stipulation Sch M-2.3 Pg.1'!Print_Area</vt:lpstr>
      <vt:lpstr>'Stipulation Sch M-2.3 Pg. 2-11'!Print_Titles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2014-11-26T16:25:59Z</dcterms:created>
  <dcterms:modified xsi:type="dcterms:W3CDTF">2019-03-14T16:48:47Z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